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615" windowWidth="7275" windowHeight="3105"/>
  </bookViews>
  <sheets>
    <sheet name="Outil" sheetId="13" r:id="rId1"/>
    <sheet name="Données" sheetId="6" state="hidden" r:id="rId2"/>
    <sheet name="Cartes" sheetId="5" state="hidden" r:id="rId3"/>
    <sheet name="Liste bassin" sheetId="14" state="hidden" r:id="rId4"/>
    <sheet name="Feuil1" sheetId="15" state="hidden" r:id="rId5"/>
    <sheet name="bassins_diff_tri" sheetId="16" state="hidden" r:id="rId6"/>
    <sheet name="Feuil2" sheetId="17" state="hidden" r:id="rId7"/>
  </sheets>
  <definedNames>
    <definedName name="_xlnm._FilterDatabase" localSheetId="5" hidden="1">bassins_diff_tri!$A$1:$J$241</definedName>
    <definedName name="_xlnm._FilterDatabase" localSheetId="1" hidden="1">Données!$A$1:$CS$34</definedName>
    <definedName name="base">Données!$A$1:$CS$34</definedName>
    <definedName name="base_colonnes">OFFSET(Données!$C$1,,,,COUNTA(Données!$1:$1)-2)</definedName>
    <definedName name="base_données">OFFSET(base_lignes,,1,,COUNTA(base_colonnes))</definedName>
    <definedName name="base_lignes">OFFSET(Données!$B$1,1,,COUNTA(Données!$A:$A)-1)</definedName>
    <definedName name="IMAGE_SELECTION">OFFSET(Cartes!$C$1,MATCH(Outil!$L$3,Cartes!$B$1:$B$37,FALSE)-1,0)</definedName>
    <definedName name="_xlnm.Print_Area" localSheetId="0">Outil!$A$1:$J$85</definedName>
  </definedNames>
  <calcPr calcId="145621"/>
</workbook>
</file>

<file path=xl/calcChain.xml><?xml version="1.0" encoding="utf-8"?>
<calcChain xmlns="http://schemas.openxmlformats.org/spreadsheetml/2006/main">
  <c r="CN17" i="6" l="1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16" i="6"/>
  <c r="U7" i="6"/>
  <c r="U8" i="6"/>
  <c r="U9" i="6"/>
  <c r="U10" i="6"/>
  <c r="U11" i="6"/>
  <c r="U12" i="6"/>
  <c r="U13" i="6"/>
  <c r="U6" i="6"/>
  <c r="U3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3" i="6"/>
  <c r="V7" i="6"/>
  <c r="V8" i="6"/>
  <c r="V9" i="6"/>
  <c r="V10" i="6"/>
  <c r="V11" i="6"/>
  <c r="V12" i="6"/>
  <c r="V13" i="6"/>
  <c r="V6" i="6"/>
  <c r="CN13" i="6" l="1"/>
  <c r="CN12" i="6"/>
  <c r="CN11" i="6"/>
  <c r="CN10" i="6"/>
  <c r="CN9" i="6"/>
  <c r="CN8" i="6"/>
  <c r="CN7" i="6"/>
  <c r="CN6" i="6"/>
  <c r="CN3" i="6"/>
  <c r="CE3" i="6"/>
  <c r="CE6" i="6"/>
  <c r="CE7" i="6"/>
  <c r="CE8" i="6"/>
  <c r="CE9" i="6"/>
  <c r="CE10" i="6"/>
  <c r="CE11" i="6"/>
  <c r="CE12" i="6"/>
  <c r="CE13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D3" i="6"/>
  <c r="CN2" i="6" l="1"/>
  <c r="CE2" i="6"/>
  <c r="B94" i="13" l="1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N56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57" i="13"/>
  <c r="M2" i="13"/>
  <c r="Z39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H39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K2" i="6"/>
  <c r="H2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Z7" i="6"/>
  <c r="Z8" i="6"/>
  <c r="Z9" i="6"/>
  <c r="Z10" i="6"/>
  <c r="Z11" i="6"/>
  <c r="Z12" i="6"/>
  <c r="Z13" i="6"/>
  <c r="Q7" i="6"/>
  <c r="Q8" i="6"/>
  <c r="Q9" i="6"/>
  <c r="Q10" i="6"/>
  <c r="Q11" i="6"/>
  <c r="Q12" i="6"/>
  <c r="Q13" i="6"/>
  <c r="N7" i="6"/>
  <c r="N8" i="6"/>
  <c r="N9" i="6"/>
  <c r="N10" i="6"/>
  <c r="N11" i="6"/>
  <c r="N12" i="6"/>
  <c r="N13" i="6"/>
  <c r="K7" i="6"/>
  <c r="K8" i="6"/>
  <c r="K9" i="6"/>
  <c r="K10" i="6"/>
  <c r="K11" i="6"/>
  <c r="K12" i="6"/>
  <c r="K13" i="6"/>
  <c r="H7" i="6"/>
  <c r="H8" i="6"/>
  <c r="H9" i="6"/>
  <c r="H10" i="6"/>
  <c r="H11" i="6"/>
  <c r="H12" i="6"/>
  <c r="H13" i="6"/>
  <c r="Z3" i="6"/>
  <c r="Z6" i="6"/>
  <c r="Z2" i="6"/>
  <c r="W3" i="6"/>
  <c r="W6" i="6"/>
  <c r="W7" i="6"/>
  <c r="W8" i="6"/>
  <c r="W9" i="6"/>
  <c r="W10" i="6"/>
  <c r="W11" i="6"/>
  <c r="W12" i="6"/>
  <c r="W13" i="6"/>
  <c r="W2" i="6"/>
  <c r="T3" i="6"/>
  <c r="T6" i="6"/>
  <c r="T7" i="6"/>
  <c r="T8" i="6"/>
  <c r="T9" i="6"/>
  <c r="T10" i="6"/>
  <c r="T11" i="6"/>
  <c r="T12" i="6"/>
  <c r="T13" i="6"/>
  <c r="T2" i="6"/>
  <c r="Q3" i="6"/>
  <c r="Q6" i="6"/>
  <c r="Q2" i="6"/>
  <c r="N3" i="6"/>
  <c r="N6" i="6"/>
  <c r="N2" i="6"/>
  <c r="K3" i="6"/>
  <c r="K6" i="6"/>
  <c r="H3" i="6"/>
  <c r="H6" i="6"/>
  <c r="E3" i="6"/>
  <c r="E6" i="6"/>
  <c r="E7" i="6"/>
  <c r="E8" i="6"/>
  <c r="E9" i="6"/>
  <c r="E10" i="6"/>
  <c r="E11" i="6"/>
  <c r="E12" i="6"/>
  <c r="E13" i="6"/>
  <c r="E2" i="6"/>
  <c r="W16" i="6"/>
  <c r="B20" i="13" l="1"/>
  <c r="G26" i="13"/>
  <c r="N124" i="13"/>
  <c r="N127" i="13"/>
  <c r="N123" i="13"/>
  <c r="N129" i="13"/>
  <c r="N125" i="13"/>
  <c r="N128" i="13"/>
  <c r="N126" i="13"/>
  <c r="N122" i="13"/>
  <c r="I43" i="13"/>
  <c r="H42" i="13"/>
  <c r="G41" i="13"/>
  <c r="G45" i="13"/>
  <c r="B44" i="13"/>
  <c r="I44" i="13"/>
  <c r="H43" i="13"/>
  <c r="G42" i="13"/>
  <c r="B41" i="13"/>
  <c r="B45" i="13"/>
  <c r="I41" i="13"/>
  <c r="I45" i="13"/>
  <c r="H44" i="13"/>
  <c r="G43" i="13"/>
  <c r="B42" i="13"/>
  <c r="I42" i="13"/>
  <c r="H41" i="13"/>
  <c r="H45" i="13"/>
  <c r="G44" i="13"/>
  <c r="B43" i="13"/>
  <c r="B38" i="13"/>
  <c r="N108" i="13"/>
  <c r="H40" i="13"/>
  <c r="H36" i="13"/>
  <c r="N114" i="13"/>
  <c r="H39" i="13"/>
  <c r="N109" i="13"/>
  <c r="F28" i="13"/>
  <c r="G37" i="13"/>
  <c r="N101" i="13"/>
  <c r="B65" i="13" s="1"/>
  <c r="H25" i="13"/>
  <c r="H28" i="13"/>
  <c r="G28" i="13"/>
  <c r="G38" i="13"/>
  <c r="B36" i="13"/>
  <c r="I39" i="13"/>
  <c r="I38" i="13"/>
  <c r="I37" i="13"/>
  <c r="N102" i="13"/>
  <c r="B66" i="13" s="1"/>
  <c r="N116" i="13"/>
  <c r="N111" i="13"/>
  <c r="N100" i="13"/>
  <c r="B64" i="13" s="1"/>
  <c r="L3" i="13"/>
  <c r="F25" i="13"/>
  <c r="H26" i="13"/>
  <c r="G27" i="13"/>
  <c r="B37" i="13"/>
  <c r="I36" i="13"/>
  <c r="G40" i="13"/>
  <c r="G39" i="13"/>
  <c r="N112" i="13"/>
  <c r="N104" i="13"/>
  <c r="B68" i="13" s="1"/>
  <c r="N113" i="13"/>
  <c r="H27" i="13"/>
  <c r="F26" i="13"/>
  <c r="F23" i="13"/>
  <c r="G25" i="13"/>
  <c r="F27" i="13"/>
  <c r="B40" i="13"/>
  <c r="I40" i="13"/>
  <c r="H38" i="13"/>
  <c r="H37" i="13"/>
  <c r="B39" i="13"/>
  <c r="G36" i="13"/>
  <c r="N103" i="13"/>
  <c r="B67" i="13" s="1"/>
  <c r="N115" i="13"/>
  <c r="N110" i="13"/>
  <c r="J40" i="13" l="1"/>
  <c r="J39" i="13"/>
  <c r="J45" i="13"/>
  <c r="M34" i="13"/>
  <c r="J41" i="13"/>
  <c r="O122" i="13"/>
  <c r="J43" i="13"/>
  <c r="O126" i="13"/>
  <c r="O123" i="13"/>
  <c r="J42" i="13"/>
  <c r="O128" i="13"/>
  <c r="O127" i="13"/>
  <c r="J44" i="13"/>
  <c r="O125" i="13"/>
  <c r="O124" i="13"/>
  <c r="O129" i="13"/>
  <c r="C65" i="13"/>
  <c r="J36" i="13"/>
  <c r="J38" i="13"/>
  <c r="C67" i="13"/>
  <c r="C64" i="13"/>
  <c r="B69" i="13"/>
  <c r="C69" i="13" s="1"/>
  <c r="C66" i="13"/>
  <c r="J37" i="13"/>
  <c r="I23" i="13"/>
  <c r="C68" i="13"/>
  <c r="I27" i="13" l="1"/>
  <c r="J27" i="13" s="1"/>
  <c r="I28" i="13"/>
  <c r="J28" i="13" s="1"/>
  <c r="I25" i="13"/>
  <c r="I26" i="13"/>
  <c r="J26" i="13" s="1"/>
</calcChain>
</file>

<file path=xl/sharedStrings.xml><?xml version="1.0" encoding="utf-8"?>
<sst xmlns="http://schemas.openxmlformats.org/spreadsheetml/2006/main" count="1677" uniqueCount="576">
  <si>
    <t xml:space="preserve">ILE-DE-FRANCE </t>
  </si>
  <si>
    <t>ZONE_GEO</t>
  </si>
  <si>
    <t>CODE_ZONE_GEO</t>
  </si>
  <si>
    <t>Métier1</t>
  </si>
  <si>
    <t>Métier1_nbre_projets</t>
  </si>
  <si>
    <t>Métier1_nbre_diff</t>
  </si>
  <si>
    <t>Métier1_nbre_sais</t>
  </si>
  <si>
    <t>Métier2_nbre_projets</t>
  </si>
  <si>
    <t>Métier2_nbre_diff</t>
  </si>
  <si>
    <t>Métier2_nbre_sais</t>
  </si>
  <si>
    <t>Métier3_nbre_projets</t>
  </si>
  <si>
    <t>Métier3_nbre_diff</t>
  </si>
  <si>
    <t>Métier3_nbre_sais</t>
  </si>
  <si>
    <t>Métier4_nbre_projets</t>
  </si>
  <si>
    <t>Métier4_nbre_diff</t>
  </si>
  <si>
    <t>Métier4_nbre_sais</t>
  </si>
  <si>
    <t>Métier5_nbre_projets</t>
  </si>
  <si>
    <t>Métier5_nbre_diff</t>
  </si>
  <si>
    <t>Métier5_nbre_sais</t>
  </si>
  <si>
    <t>Métier6_nbre_projets</t>
  </si>
  <si>
    <t>Métier6_nbre_diff</t>
  </si>
  <si>
    <t>Métier6_nbre_sais</t>
  </si>
  <si>
    <t>Métier7_nbre_projets</t>
  </si>
  <si>
    <t>Métier7_nbre_diff</t>
  </si>
  <si>
    <t>Métier7_nbre_sais</t>
  </si>
  <si>
    <t>Métier8_nbre_projets</t>
  </si>
  <si>
    <t>Métier8_nbre_diff</t>
  </si>
  <si>
    <t>Métier8_nbre_sais</t>
  </si>
  <si>
    <t>Métier9_nbre_projets</t>
  </si>
  <si>
    <t>Métier9_nbre_diff</t>
  </si>
  <si>
    <t>Métier9_nbre_sais</t>
  </si>
  <si>
    <t>Métier10_nbre_projets</t>
  </si>
  <si>
    <t>Métier10_nbre_diff</t>
  </si>
  <si>
    <t>Métier10_nbre_sais</t>
  </si>
  <si>
    <t>Métier2</t>
  </si>
  <si>
    <t>Métier3</t>
  </si>
  <si>
    <t>Métier4</t>
  </si>
  <si>
    <t>Métier5</t>
  </si>
  <si>
    <t>Métier6</t>
  </si>
  <si>
    <t>Métier7</t>
  </si>
  <si>
    <t>Métier8</t>
  </si>
  <si>
    <t>Métier9</t>
  </si>
  <si>
    <t>Métier10</t>
  </si>
  <si>
    <t>Agents d'entretien de locaux (y compris ATSEM)</t>
  </si>
  <si>
    <t>Agents de sécurité et de surveillance, enquêteurs privés et métiers assimilés</t>
  </si>
  <si>
    <t>Professionnels de l'animation socioculturelle (animateurs et directeurs)</t>
  </si>
  <si>
    <t>Conducteurs et livreurs sur courte distance</t>
  </si>
  <si>
    <t>Cadres administratifs, comptables et financiers (hors juristes)</t>
  </si>
  <si>
    <t>Agents administratifs divers (saisie, assistanat RH, enquêtes…)</t>
  </si>
  <si>
    <t>Ouvriers non qualifiés de l'emballage et manutentionnaires</t>
  </si>
  <si>
    <t>Vendeurs en habillement, accessoires et articles de luxe, sport, loisirs et culture</t>
  </si>
  <si>
    <t>Professionnels des spectacles</t>
  </si>
  <si>
    <t>Agents d'accueil et d'information, standardistes</t>
  </si>
  <si>
    <t>Assistantes maternelles</t>
  </si>
  <si>
    <t>Employés de maison et personnels de ménage</t>
  </si>
  <si>
    <t>Employés de libre-service</t>
  </si>
  <si>
    <t>IAA et agriculture</t>
  </si>
  <si>
    <t>Industrie manufacturière</t>
  </si>
  <si>
    <t>Construction</t>
  </si>
  <si>
    <t>Commerce</t>
  </si>
  <si>
    <t>total secteur</t>
  </si>
  <si>
    <t>1 à 4 salariés</t>
  </si>
  <si>
    <t>5 à 9 salariés</t>
  </si>
  <si>
    <t>10 à 19 salariés</t>
  </si>
  <si>
    <t>20 à 49 salariés</t>
  </si>
  <si>
    <t>50 à 99 salariés</t>
  </si>
  <si>
    <t>100 à 199 salariés</t>
  </si>
  <si>
    <t>Bassin</t>
  </si>
  <si>
    <t>TOTAL_taille</t>
  </si>
  <si>
    <t>Evol_Nombre_projets_difficiles_ns</t>
  </si>
  <si>
    <t>Evol_Effectif_salarie_estime</t>
  </si>
  <si>
    <t>Services</t>
  </si>
  <si>
    <t>metier_tension1</t>
  </si>
  <si>
    <t>metier_tension2</t>
  </si>
  <si>
    <t>metier_tension3</t>
  </si>
  <si>
    <t>metier_tension4</t>
  </si>
  <si>
    <t>metier_tension5</t>
  </si>
  <si>
    <t>FRANCE MÉTROPOLITAINE</t>
  </si>
  <si>
    <t>Hébergement et restauration</t>
  </si>
  <si>
    <t>Information et communication</t>
  </si>
  <si>
    <t>Activités financières et d'assurance</t>
  </si>
  <si>
    <t>Activités immobilières</t>
  </si>
  <si>
    <t>Administration publique, enseignement</t>
  </si>
  <si>
    <t>Santé humaine et action sociale</t>
  </si>
  <si>
    <t>Autres activités de services</t>
  </si>
  <si>
    <t>0 salarié</t>
  </si>
  <si>
    <t>Ingénieurs et cadres technico-commerciaux</t>
  </si>
  <si>
    <t>Part des établissements recruteurs</t>
  </si>
  <si>
    <t>Nombre de projets de recrutement</t>
  </si>
  <si>
    <t xml:space="preserve">            ….dont projets difficiles</t>
  </si>
  <si>
    <t xml:space="preserve">           ….dont saisonniers</t>
  </si>
  <si>
    <t>France Métropolitaine</t>
  </si>
  <si>
    <t>Essonne Est</t>
  </si>
  <si>
    <t>Essonne Ouest</t>
  </si>
  <si>
    <t>Seine Et Marne Nord</t>
  </si>
  <si>
    <t>Seine Et Marne Sud</t>
  </si>
  <si>
    <t>Yvelines Nord</t>
  </si>
  <si>
    <t>Yvelines Sud</t>
  </si>
  <si>
    <t>Paris</t>
  </si>
  <si>
    <t>Seine Et Marne</t>
  </si>
  <si>
    <t>Yvelines</t>
  </si>
  <si>
    <t>Essonne</t>
  </si>
  <si>
    <t>Paris Croissant Nord</t>
  </si>
  <si>
    <t>Paris Triangle d'or</t>
  </si>
  <si>
    <t>Paris Croissant Sud</t>
  </si>
  <si>
    <t>Val d'Oise Est</t>
  </si>
  <si>
    <t>Val d'Oise Ouest</t>
  </si>
  <si>
    <t>Val d'Oise</t>
  </si>
  <si>
    <t xml:space="preserve">Ile-de-France </t>
  </si>
  <si>
    <t>Hauts de Seine Centre</t>
  </si>
  <si>
    <t>Hauts de Seine Nord</t>
  </si>
  <si>
    <t>Hauts de Seine Sud</t>
  </si>
  <si>
    <t>Val de Marne Est</t>
  </si>
  <si>
    <t>Val de Marne Ouest</t>
  </si>
  <si>
    <t>Hauts de Seine</t>
  </si>
  <si>
    <t>Seine Saint denis</t>
  </si>
  <si>
    <t>Val de Marne</t>
  </si>
  <si>
    <t>Seine Saint Denis Centre</t>
  </si>
  <si>
    <t>Seine Saint Denis Est</t>
  </si>
  <si>
    <t>Seine Saint Denis Ouest</t>
  </si>
  <si>
    <t>Nombre de projets de recrutements</t>
  </si>
  <si>
    <t>Nombre de recrutements jugés difficiles</t>
  </si>
  <si>
    <t>Nombre de recrutements saisonniers</t>
  </si>
  <si>
    <t>Conducteurs routiers et grands routiers</t>
  </si>
  <si>
    <t>Secrétaires bureautiques et assimilés (y compris secrétaires médicales)</t>
  </si>
  <si>
    <t>Ingénieurs et cadres d'études, R et D en informatique, chefs de projets informatiques</t>
  </si>
  <si>
    <t>Ingénieurs et cadres d'études, recherche et développement (industrie)</t>
  </si>
  <si>
    <t>Commerciaux (techniciens commerciaux en entreprise)</t>
  </si>
  <si>
    <t>Aides, apprentis, employés polyvalents de cuisine (y compris crêpes, pizzas, plonge …)</t>
  </si>
  <si>
    <t>Serveurs de cafés, de restaurants et commis</t>
  </si>
  <si>
    <t>Aides à domicile, aides ménagères, travailleuses familiales</t>
  </si>
  <si>
    <t>Artistes, professeurs d'art (musique, danse, spectacles)</t>
  </si>
  <si>
    <t>Aides-soignants (aides médico-psychologiques, auxiliaires de puériculture, assistants médicaux…)</t>
  </si>
  <si>
    <t>Ouvriers non qualifiés du second œuvre du bâtiment</t>
  </si>
  <si>
    <t>Transports et entreposage</t>
  </si>
  <si>
    <t>Services scien., tech., adm. et soutien</t>
  </si>
  <si>
    <t>1102</t>
  </si>
  <si>
    <t>1103</t>
  </si>
  <si>
    <t>1144</t>
  </si>
  <si>
    <t>1145</t>
  </si>
  <si>
    <t>1166</t>
  </si>
  <si>
    <t>1160</t>
  </si>
  <si>
    <t>1165</t>
  </si>
  <si>
    <t>1113</t>
  </si>
  <si>
    <t>1114</t>
  </si>
  <si>
    <t>1177</t>
  </si>
  <si>
    <t>1178</t>
  </si>
  <si>
    <t>1176</t>
  </si>
  <si>
    <t>1101</t>
  </si>
  <si>
    <t>1194</t>
  </si>
  <si>
    <t>1195</t>
  </si>
  <si>
    <t>1189</t>
  </si>
  <si>
    <t>1187</t>
  </si>
  <si>
    <t>1135</t>
  </si>
  <si>
    <t>1136</t>
  </si>
  <si>
    <t>Nombre_projets_difficiles_ns_2016</t>
  </si>
  <si>
    <t>Effectif_salarie_estime_2016</t>
  </si>
  <si>
    <t>Viticulteurs, arboriculteurs salariés, cueilleurs</t>
  </si>
  <si>
    <t>Agriculteurs salariés, ouvriers agricoles</t>
  </si>
  <si>
    <t>Nombre_projets_2017</t>
  </si>
  <si>
    <t>Nombre_projets_difficiles_2017</t>
  </si>
  <si>
    <t>Nombre_projets_saisonniers_2017</t>
  </si>
  <si>
    <t>Nombre_projets_difficiles_ns_2017</t>
  </si>
  <si>
    <t>Nombre_ets_enquetes_2017</t>
  </si>
  <si>
    <t>Nombre_ets_recruteurs_2017</t>
  </si>
  <si>
    <t>Part_ets_recruteurs_2017</t>
  </si>
  <si>
    <t>Effectif_salarie_estime_2017</t>
  </si>
  <si>
    <t>T1 Paris</t>
  </si>
  <si>
    <t>Sud 77</t>
  </si>
  <si>
    <t>Nord Est 77</t>
  </si>
  <si>
    <t>Centre 77</t>
  </si>
  <si>
    <t>Est 77</t>
  </si>
  <si>
    <t>Marne la Vallée</t>
  </si>
  <si>
    <t>Porte Sud du Grand Paris</t>
  </si>
  <si>
    <t>Roissy - Le Bourget</t>
  </si>
  <si>
    <t>Sud Ouest Francilien</t>
  </si>
  <si>
    <t>Seine-Aval</t>
  </si>
  <si>
    <t>Versailles Saclay</t>
  </si>
  <si>
    <t>Ouest 95</t>
  </si>
  <si>
    <t>Sud 91</t>
  </si>
  <si>
    <t>T12</t>
  </si>
  <si>
    <t>T2</t>
  </si>
  <si>
    <t>T5</t>
  </si>
  <si>
    <t>T3</t>
  </si>
  <si>
    <t>T4</t>
  </si>
  <si>
    <t>T6</t>
  </si>
  <si>
    <t>T8</t>
  </si>
  <si>
    <t>T9</t>
  </si>
  <si>
    <t>T11</t>
  </si>
  <si>
    <t>T10</t>
  </si>
  <si>
    <t>Est 95</t>
  </si>
  <si>
    <t>Conducteurs de transport en commun sur route</t>
  </si>
  <si>
    <t>Cuisiniers</t>
  </si>
  <si>
    <t>Infirmiers, cadres infirmiers et puéricultrices</t>
  </si>
  <si>
    <t>Employés de la banque et des assurances</t>
  </si>
  <si>
    <t>Employés de la comptabilité</t>
  </si>
  <si>
    <t>Evolution_Nombre_projets</t>
  </si>
  <si>
    <t>Evolution_Nombre_projets_difficiles</t>
  </si>
  <si>
    <t>Evolution_Nombre_projets_saisonniers</t>
  </si>
  <si>
    <t>Evolution_Nombre_ets_enquetes</t>
  </si>
  <si>
    <t>Evolution_Nombre_ets_recruteurs</t>
  </si>
  <si>
    <t>Evolution_Part_ets_recruteurs</t>
  </si>
  <si>
    <t>Evolution</t>
  </si>
  <si>
    <t>Departement :</t>
  </si>
  <si>
    <t>xx</t>
  </si>
  <si>
    <t xml:space="preserve">Bassin : </t>
  </si>
  <si>
    <t>% recrutement jugés difficiles</t>
  </si>
  <si>
    <t>Perimetre</t>
  </si>
  <si>
    <t>Total</t>
  </si>
  <si>
    <t>Les principaux résultats</t>
  </si>
  <si>
    <t>Secteurs des entreprises qui recrutent</t>
  </si>
  <si>
    <r>
      <rPr>
        <sz val="8"/>
        <color indexed="28"/>
        <rFont val="Calibri"/>
        <family val="2"/>
      </rPr>
      <t xml:space="preserve">* </t>
    </r>
    <r>
      <rPr>
        <i/>
        <sz val="8"/>
        <rFont val="Calibri"/>
        <family val="2"/>
      </rPr>
      <t>Industrie Agro-Alimentaire</t>
    </r>
  </si>
  <si>
    <r>
      <t>IAA</t>
    </r>
    <r>
      <rPr>
        <sz val="10"/>
        <color theme="0"/>
        <rFont val="Calibri"/>
        <family val="2"/>
      </rPr>
      <t>* et agriculture</t>
    </r>
  </si>
  <si>
    <t>Part en %</t>
  </si>
  <si>
    <t>Les 10 métiers qui recrutent le plus</t>
  </si>
  <si>
    <r>
      <t xml:space="preserve">Poids </t>
    </r>
    <r>
      <rPr>
        <i/>
        <sz val="8"/>
        <color theme="0"/>
        <rFont val="Calibri"/>
        <family val="2"/>
        <scheme val="minor"/>
      </rPr>
      <t>(1)/(2)</t>
    </r>
  </si>
  <si>
    <t>OUI</t>
  </si>
  <si>
    <t>NON</t>
  </si>
  <si>
    <t xml:space="preserve"> </t>
  </si>
  <si>
    <t>Nombre_projets_2018</t>
  </si>
  <si>
    <t>Nombre_projets_difficiles_2018</t>
  </si>
  <si>
    <t>Nombre_projets_saisonniers_2018</t>
  </si>
  <si>
    <t>Nombre_ets_enquetes_2018</t>
  </si>
  <si>
    <t>Nombre_ets_recruteurs_2018</t>
  </si>
  <si>
    <t>Part_ets_recruteurs_2018</t>
  </si>
  <si>
    <t>Techniciens des industries de process (interventions techniques)</t>
  </si>
  <si>
    <t>Agents de services hospitaliers</t>
  </si>
  <si>
    <t>Employés et opérateurs de l'informatique</t>
  </si>
  <si>
    <t>Agents des services commerciaux des transports de voyageurs et du tourisme</t>
  </si>
  <si>
    <r>
      <t xml:space="preserve">2018 </t>
    </r>
    <r>
      <rPr>
        <i/>
        <sz val="8"/>
        <color theme="0"/>
        <rFont val="Calibri"/>
        <family val="2"/>
        <scheme val="minor"/>
      </rPr>
      <t>(1)</t>
    </r>
  </si>
  <si>
    <r>
      <t xml:space="preserve">2018 </t>
    </r>
    <r>
      <rPr>
        <i/>
        <sz val="8"/>
        <color theme="0"/>
        <rFont val="Calibri"/>
        <family val="2"/>
        <scheme val="minor"/>
      </rPr>
      <t>(2)</t>
    </r>
  </si>
  <si>
    <t>Maraîchers, horticulteurs salariés</t>
  </si>
  <si>
    <t>Ouvriers non qualifiés en métallurgie, verre, céramique et matériaux de construction</t>
  </si>
  <si>
    <t>Caissiers, pompistes</t>
  </si>
  <si>
    <t>Educateurs spécialisés</t>
  </si>
  <si>
    <t>Ouvriers non qualifiés métallerie, serrurerie, montage (y compris réparateurs)</t>
  </si>
  <si>
    <t>Vendeurs généralistes</t>
  </si>
  <si>
    <t>Autres ouvriers non qualifiés de type industriel (préparation matières  et  prod. industriels...)</t>
  </si>
  <si>
    <t>be18</t>
  </si>
  <si>
    <t>cle</t>
  </si>
  <si>
    <t>metier</t>
  </si>
  <si>
    <t>libelle</t>
  </si>
  <si>
    <t>rang</t>
  </si>
  <si>
    <t>projets</t>
  </si>
  <si>
    <t>diff</t>
  </si>
  <si>
    <t>sais</t>
  </si>
  <si>
    <t>tension</t>
  </si>
  <si>
    <t>taux</t>
  </si>
  <si>
    <t>1107</t>
  </si>
  <si>
    <t>1107_1</t>
  </si>
  <si>
    <t>M2Z90</t>
  </si>
  <si>
    <t>1107_2</t>
  </si>
  <si>
    <t>U1Z91</t>
  </si>
  <si>
    <t>1107_3</t>
  </si>
  <si>
    <t>S1Z20</t>
  </si>
  <si>
    <t>1107_4</t>
  </si>
  <si>
    <t>R1Z62</t>
  </si>
  <si>
    <t>1107_5</t>
  </si>
  <si>
    <t>S2Z61</t>
  </si>
  <si>
    <t>1107_6</t>
  </si>
  <si>
    <t>L5Z90</t>
  </si>
  <si>
    <t>1107_7</t>
  </si>
  <si>
    <t>T3Z61</t>
  </si>
  <si>
    <t>1107_8</t>
  </si>
  <si>
    <t>U1Z80</t>
  </si>
  <si>
    <t>1107_9</t>
  </si>
  <si>
    <t>L2Z61</t>
  </si>
  <si>
    <t>S1Z40</t>
  </si>
  <si>
    <t>1108</t>
  </si>
  <si>
    <t>1108_1</t>
  </si>
  <si>
    <t>R0Z60</t>
  </si>
  <si>
    <t>1108_2</t>
  </si>
  <si>
    <t>1108_3</t>
  </si>
  <si>
    <t>V0Z60</t>
  </si>
  <si>
    <t>1108_4</t>
  </si>
  <si>
    <t>T2A60</t>
  </si>
  <si>
    <t>1108_5</t>
  </si>
  <si>
    <t>1108_6</t>
  </si>
  <si>
    <t>A1Z40</t>
  </si>
  <si>
    <t>1108_7</t>
  </si>
  <si>
    <t>E0Z22</t>
  </si>
  <si>
    <t>1108_8</t>
  </si>
  <si>
    <t>R0Z61</t>
  </si>
  <si>
    <t>1108_9</t>
  </si>
  <si>
    <t>L0Z60</t>
  </si>
  <si>
    <t>V4Z83</t>
  </si>
  <si>
    <t>1109</t>
  </si>
  <si>
    <t>1109_1</t>
  </si>
  <si>
    <t>A1Z42</t>
  </si>
  <si>
    <t>1109_2</t>
  </si>
  <si>
    <t>1109_3</t>
  </si>
  <si>
    <t>T4Z60</t>
  </si>
  <si>
    <t>1109_4</t>
  </si>
  <si>
    <t>1109_5</t>
  </si>
  <si>
    <t>J3Z43</t>
  </si>
  <si>
    <t>1109_6</t>
  </si>
  <si>
    <t>D3Z20</t>
  </si>
  <si>
    <t>1109_7</t>
  </si>
  <si>
    <t>T1Z60</t>
  </si>
  <si>
    <t>1109_8</t>
  </si>
  <si>
    <t>R1Z66</t>
  </si>
  <si>
    <t>1109_9</t>
  </si>
  <si>
    <t>J0Z20</t>
  </si>
  <si>
    <t>1115</t>
  </si>
  <si>
    <t>1115_1</t>
  </si>
  <si>
    <t>1115_2</t>
  </si>
  <si>
    <t>1115_3</t>
  </si>
  <si>
    <t>1115_4</t>
  </si>
  <si>
    <t>1115_5</t>
  </si>
  <si>
    <t>T2B60</t>
  </si>
  <si>
    <t>1115_6</t>
  </si>
  <si>
    <t>J3Z41</t>
  </si>
  <si>
    <t>1115_7</t>
  </si>
  <si>
    <t>1115_8</t>
  </si>
  <si>
    <t>1115_9</t>
  </si>
  <si>
    <t>1116</t>
  </si>
  <si>
    <t>1116_1</t>
  </si>
  <si>
    <t>1116_2</t>
  </si>
  <si>
    <t>1116_3</t>
  </si>
  <si>
    <t>1116_4</t>
  </si>
  <si>
    <t>A0Z40</t>
  </si>
  <si>
    <t>1116_5</t>
  </si>
  <si>
    <t>1116_6</t>
  </si>
  <si>
    <t>E0Z24</t>
  </si>
  <si>
    <t>1116_7</t>
  </si>
  <si>
    <t>1116_8</t>
  </si>
  <si>
    <t>1116_9</t>
  </si>
  <si>
    <t>1117</t>
  </si>
  <si>
    <t>1117_1</t>
  </si>
  <si>
    <t>1117_2</t>
  </si>
  <si>
    <t>1117_3</t>
  </si>
  <si>
    <t>V5Z81</t>
  </si>
  <si>
    <t>1117_4</t>
  </si>
  <si>
    <t>1117_5</t>
  </si>
  <si>
    <t>1117_6</t>
  </si>
  <si>
    <t>1117_7</t>
  </si>
  <si>
    <t>1117_8</t>
  </si>
  <si>
    <t>1117_9</t>
  </si>
  <si>
    <t>R2Z80</t>
  </si>
  <si>
    <t>1118</t>
  </si>
  <si>
    <t>1118_1</t>
  </si>
  <si>
    <t>1118_2</t>
  </si>
  <si>
    <t>1118_3</t>
  </si>
  <si>
    <t>1118_4</t>
  </si>
  <si>
    <t>1118_5</t>
  </si>
  <si>
    <t>1118_6</t>
  </si>
  <si>
    <t>1118_7</t>
  </si>
  <si>
    <t>T4Z61</t>
  </si>
  <si>
    <t>1118_8</t>
  </si>
  <si>
    <t>J3Z42</t>
  </si>
  <si>
    <t>1118_9</t>
  </si>
  <si>
    <t>V1Z80</t>
  </si>
  <si>
    <t>1119</t>
  </si>
  <si>
    <t>1119_1</t>
  </si>
  <si>
    <t>1119_2</t>
  </si>
  <si>
    <t>1119_3</t>
  </si>
  <si>
    <t>J5Z62</t>
  </si>
  <si>
    <t>1119_4</t>
  </si>
  <si>
    <t>1119_5</t>
  </si>
  <si>
    <t>L2Z60</t>
  </si>
  <si>
    <t>1119_6</t>
  </si>
  <si>
    <t>1119_7</t>
  </si>
  <si>
    <t>1119_8</t>
  </si>
  <si>
    <t>1119_9</t>
  </si>
  <si>
    <t>1124</t>
  </si>
  <si>
    <t>1124_1</t>
  </si>
  <si>
    <t>1124_2</t>
  </si>
  <si>
    <t>1124_3</t>
  </si>
  <si>
    <t>1124_4</t>
  </si>
  <si>
    <t>1124_5</t>
  </si>
  <si>
    <t>1124_6</t>
  </si>
  <si>
    <t>1124_7</t>
  </si>
  <si>
    <t>T4Z62</t>
  </si>
  <si>
    <t>Ouvriers de l'assainissement et du traitement des déchets</t>
  </si>
  <si>
    <t>1124_8</t>
  </si>
  <si>
    <t>G1Z70</t>
  </si>
  <si>
    <t>Techniciens et agents de maîtrise de la maintenance et de l'environnement</t>
  </si>
  <si>
    <t>1124_9</t>
  </si>
  <si>
    <t>B3Z20</t>
  </si>
  <si>
    <t>1125</t>
  </si>
  <si>
    <t>1125_1</t>
  </si>
  <si>
    <t>1125_2</t>
  </si>
  <si>
    <t>1125_3</t>
  </si>
  <si>
    <t>1125_4</t>
  </si>
  <si>
    <t>1125_5</t>
  </si>
  <si>
    <t>1125_6</t>
  </si>
  <si>
    <t>1125_7</t>
  </si>
  <si>
    <t>1125_8</t>
  </si>
  <si>
    <t>1125_9</t>
  </si>
  <si>
    <t>1126</t>
  </si>
  <si>
    <t>1126_1</t>
  </si>
  <si>
    <t>1126_2</t>
  </si>
  <si>
    <t>1126_3</t>
  </si>
  <si>
    <t>N0Z90</t>
  </si>
  <si>
    <t>1126_4</t>
  </si>
  <si>
    <t>1126_5</t>
  </si>
  <si>
    <t>1126_6</t>
  </si>
  <si>
    <t>E2Z70</t>
  </si>
  <si>
    <t>1126_7</t>
  </si>
  <si>
    <t>1126_8</t>
  </si>
  <si>
    <t>1126_9</t>
  </si>
  <si>
    <t>1127</t>
  </si>
  <si>
    <t>1127_1</t>
  </si>
  <si>
    <t>1127_2</t>
  </si>
  <si>
    <t>1127_3</t>
  </si>
  <si>
    <t>1127_4</t>
  </si>
  <si>
    <t>1127_5</t>
  </si>
  <si>
    <t>1127_6</t>
  </si>
  <si>
    <t>1127_7</t>
  </si>
  <si>
    <t>1127_8</t>
  </si>
  <si>
    <t>1127_9</t>
  </si>
  <si>
    <t>T6Z61</t>
  </si>
  <si>
    <t>Employés des services funéraires et autres services divers (développement personnel, loisirs, jeux…)</t>
  </si>
  <si>
    <t>1128</t>
  </si>
  <si>
    <t>1128_1</t>
  </si>
  <si>
    <t>1128_2</t>
  </si>
  <si>
    <t>1128_3</t>
  </si>
  <si>
    <t>1128_4</t>
  </si>
  <si>
    <t>1128_5</t>
  </si>
  <si>
    <t>1128_6</t>
  </si>
  <si>
    <t>1128_7</t>
  </si>
  <si>
    <t>1128_8</t>
  </si>
  <si>
    <t>1128_9</t>
  </si>
  <si>
    <t>1129</t>
  </si>
  <si>
    <t>1129_1</t>
  </si>
  <si>
    <t>1129_2</t>
  </si>
  <si>
    <t>1129_3</t>
  </si>
  <si>
    <t>1129_4</t>
  </si>
  <si>
    <t>1129_5</t>
  </si>
  <si>
    <t>1129_6</t>
  </si>
  <si>
    <t>1129_7</t>
  </si>
  <si>
    <t>1129_8</t>
  </si>
  <si>
    <t>1129_9</t>
  </si>
  <si>
    <t>1137</t>
  </si>
  <si>
    <t>1137_1</t>
  </si>
  <si>
    <t>1137_2</t>
  </si>
  <si>
    <t>1137_3</t>
  </si>
  <si>
    <t>1137_4</t>
  </si>
  <si>
    <t>1137_5</t>
  </si>
  <si>
    <t>1137_6</t>
  </si>
  <si>
    <t>1137_7</t>
  </si>
  <si>
    <t>1137_8</t>
  </si>
  <si>
    <t>1137_9</t>
  </si>
  <si>
    <t>1138</t>
  </si>
  <si>
    <t>1138_1</t>
  </si>
  <si>
    <t>1138_2</t>
  </si>
  <si>
    <t>1138_3</t>
  </si>
  <si>
    <t>1138_4</t>
  </si>
  <si>
    <t>1138_5</t>
  </si>
  <si>
    <t>1138_6</t>
  </si>
  <si>
    <t>1138_7</t>
  </si>
  <si>
    <t>J3Z40</t>
  </si>
  <si>
    <t>Conducteurs de véhicules légers (conducteurs de taxis, ambulanciers…)</t>
  </si>
  <si>
    <t>1138_8</t>
  </si>
  <si>
    <t>1138_9</t>
  </si>
  <si>
    <t>1139</t>
  </si>
  <si>
    <t>1139_1</t>
  </si>
  <si>
    <t>1139_2</t>
  </si>
  <si>
    <t>1139_3</t>
  </si>
  <si>
    <t>1139_4</t>
  </si>
  <si>
    <t>1139_5</t>
  </si>
  <si>
    <t>R4Z91</t>
  </si>
  <si>
    <t>1139_6</t>
  </si>
  <si>
    <t>M1Z81</t>
  </si>
  <si>
    <t>Techniciens de production et d'exploitation (installation, maintenance, support…) de systèmes d'information</t>
  </si>
  <si>
    <t>1139_7</t>
  </si>
  <si>
    <t>1139_8</t>
  </si>
  <si>
    <t>M1Z80</t>
  </si>
  <si>
    <t>Techniciens d'études et de développ. en informatique (y compris webmasters, programmeurs…)</t>
  </si>
  <si>
    <t>1139_9</t>
  </si>
  <si>
    <t>1146</t>
  </si>
  <si>
    <t>1146_1</t>
  </si>
  <si>
    <t>1146_2</t>
  </si>
  <si>
    <t>1146_3</t>
  </si>
  <si>
    <t>Q0Z60</t>
  </si>
  <si>
    <t>1146_4</t>
  </si>
  <si>
    <t>1146_5</t>
  </si>
  <si>
    <t>M0Z60</t>
  </si>
  <si>
    <t>1146_6</t>
  </si>
  <si>
    <t>1146_7</t>
  </si>
  <si>
    <t>1146_8</t>
  </si>
  <si>
    <t>1146_9</t>
  </si>
  <si>
    <t>L1Z60</t>
  </si>
  <si>
    <t>1147</t>
  </si>
  <si>
    <t>1147_1</t>
  </si>
  <si>
    <t>1147_2</t>
  </si>
  <si>
    <t>1147_3</t>
  </si>
  <si>
    <t>1147_4</t>
  </si>
  <si>
    <t>1147_5</t>
  </si>
  <si>
    <t>1147_6</t>
  </si>
  <si>
    <t>1147_7</t>
  </si>
  <si>
    <t>1147_8</t>
  </si>
  <si>
    <t>1147_9</t>
  </si>
  <si>
    <t>1148</t>
  </si>
  <si>
    <t>1148_1</t>
  </si>
  <si>
    <t>1148_2</t>
  </si>
  <si>
    <t>1148_3</t>
  </si>
  <si>
    <t>1148_4</t>
  </si>
  <si>
    <t>1148_5</t>
  </si>
  <si>
    <t>1148_6</t>
  </si>
  <si>
    <t>1148_7</t>
  </si>
  <si>
    <t>1148_8</t>
  </si>
  <si>
    <t>1148_9</t>
  </si>
  <si>
    <t>1149</t>
  </si>
  <si>
    <t>1149_1</t>
  </si>
  <si>
    <t>1149_2</t>
  </si>
  <si>
    <t>1149_3</t>
  </si>
  <si>
    <t>1149_4</t>
  </si>
  <si>
    <t>1149_5</t>
  </si>
  <si>
    <t>1149_6</t>
  </si>
  <si>
    <t>1149_7</t>
  </si>
  <si>
    <t>1149_8</t>
  </si>
  <si>
    <t>1149_9</t>
  </si>
  <si>
    <t>1150</t>
  </si>
  <si>
    <t>1150_1</t>
  </si>
  <si>
    <t>1150_2</t>
  </si>
  <si>
    <t>1150_3</t>
  </si>
  <si>
    <t>1150_4</t>
  </si>
  <si>
    <t>1150_5</t>
  </si>
  <si>
    <t>1150_6</t>
  </si>
  <si>
    <t>1150_7</t>
  </si>
  <si>
    <t>1150_8</t>
  </si>
  <si>
    <t>1150_9</t>
  </si>
  <si>
    <t>1151</t>
  </si>
  <si>
    <t>1151_1</t>
  </si>
  <si>
    <t>1151_2</t>
  </si>
  <si>
    <t>1151_3</t>
  </si>
  <si>
    <t>1151_4</t>
  </si>
  <si>
    <t>1151_5</t>
  </si>
  <si>
    <t>1151_6</t>
  </si>
  <si>
    <t>1151_7</t>
  </si>
  <si>
    <t>1151_8</t>
  </si>
  <si>
    <t>1151_9</t>
  </si>
  <si>
    <t>B0Z21</t>
  </si>
  <si>
    <t>Ouvriers non qualifiés du gros œuvre du bâtiment</t>
  </si>
  <si>
    <t>1152</t>
  </si>
  <si>
    <t>1152_1</t>
  </si>
  <si>
    <t>1152_2</t>
  </si>
  <si>
    <t>1152_3</t>
  </si>
  <si>
    <t>1152_4</t>
  </si>
  <si>
    <t>1152_5</t>
  </si>
  <si>
    <t>1152_6</t>
  </si>
  <si>
    <t>1152_7</t>
  </si>
  <si>
    <t>1152_8</t>
  </si>
  <si>
    <t>1152_9</t>
  </si>
  <si>
    <t>1107_10</t>
  </si>
  <si>
    <t>1108_10</t>
  </si>
  <si>
    <t>1109_10</t>
  </si>
  <si>
    <t>1115_10</t>
  </si>
  <si>
    <t>1116_10</t>
  </si>
  <si>
    <t>1118_10</t>
  </si>
  <si>
    <t>1119_10</t>
  </si>
  <si>
    <t>1124_10</t>
  </si>
  <si>
    <t>1125_10</t>
  </si>
  <si>
    <t>1126_10</t>
  </si>
  <si>
    <t>1127_10</t>
  </si>
  <si>
    <t>1128_10</t>
  </si>
  <si>
    <t>1129_10</t>
  </si>
  <si>
    <t>1137_10</t>
  </si>
  <si>
    <t>1138_10</t>
  </si>
  <si>
    <t>1139_10</t>
  </si>
  <si>
    <t>1146_10</t>
  </si>
  <si>
    <t>1147_10</t>
  </si>
  <si>
    <t>1148_10</t>
  </si>
  <si>
    <t>1149_10</t>
  </si>
  <si>
    <t>1150_10</t>
  </si>
  <si>
    <t>1151_10</t>
  </si>
  <si>
    <t>1152_10</t>
  </si>
  <si>
    <t>1117_10</t>
  </si>
  <si>
    <t>Viticulteurs, arboriculteurs salariés</t>
  </si>
  <si>
    <t>Professionnels de l'animation socioculturelle</t>
  </si>
  <si>
    <t>Aides et apprentis de cuisine, employés polyvalents de la restauration</t>
  </si>
  <si>
    <t>Agriculteurs salariés</t>
  </si>
  <si>
    <t>Employés de libre service</t>
  </si>
  <si>
    <t>Vendeurs en habillement et accessoires (luxe, sport, loisirs et culturels)</t>
  </si>
  <si>
    <t>200 salariés et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</si>
</sst>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000"/>
    <numFmt numFmtId="165" formatCode="0.0%"/>
    <numFmt numFmtId="166" formatCode="_-* #,##0\ _€_-;\-* #,##0\ _€_-;_-* &quot;-&quot;??\ _€_-;_-@_-"/>
  </numFmts>
  <fonts count="3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name val="Arial"/>
      <family val="2"/>
    </font>
    <font>
      <b/>
      <sz val="10"/>
      <color indexed="12"/>
      <name val="Arial Narrow"/>
      <family val="2"/>
    </font>
    <font>
      <sz val="10"/>
      <color indexed="12"/>
      <name val="Arial Narrow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indexed="9"/>
      <name val="MS Sans Serif"/>
      <family val="2"/>
    </font>
    <font>
      <sz val="8"/>
      <name val="Arial Narrow"/>
      <family val="2"/>
    </font>
    <font>
      <b/>
      <sz val="9"/>
      <color indexed="48"/>
      <name val="Arial Narrow"/>
      <family val="2"/>
    </font>
    <font>
      <b/>
      <u/>
      <sz val="10"/>
      <color indexed="12"/>
      <name val="Arial"/>
      <family val="2"/>
    </font>
    <font>
      <u/>
      <sz val="10"/>
      <name val="Arial"/>
      <family val="2"/>
    </font>
    <font>
      <sz val="8"/>
      <color indexed="28"/>
      <name val="Calibri"/>
      <family val="2"/>
    </font>
    <font>
      <i/>
      <sz val="8"/>
      <name val="Calibri"/>
      <family val="2"/>
    </font>
    <font>
      <sz val="10"/>
      <color theme="5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</font>
    <font>
      <sz val="10"/>
      <color theme="0"/>
      <name val="Calibri"/>
      <family val="2"/>
      <scheme val="minor"/>
    </font>
    <font>
      <b/>
      <sz val="16"/>
      <color rgb="FF441051"/>
      <name val="Calibri"/>
      <family val="2"/>
      <scheme val="minor"/>
    </font>
    <font>
      <sz val="10"/>
      <color rgb="FF646363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14"/>
      <color rgb="FF441051"/>
      <name val="Calibri"/>
      <family val="2"/>
      <scheme val="minor"/>
    </font>
    <font>
      <i/>
      <sz val="10"/>
      <color rgb="FFF7A6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Arial"/>
      <family val="2"/>
    </font>
    <font>
      <i/>
      <sz val="10"/>
      <name val="Arial"/>
      <family val="2"/>
    </font>
    <font>
      <sz val="23"/>
      <color rgb="FF42424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lightUp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7A600"/>
        <bgColor indexed="64"/>
      </patternFill>
    </fill>
    <fill>
      <patternFill patternType="solid">
        <fgColor rgb="FF441051"/>
        <bgColor indexed="64"/>
      </patternFill>
    </fill>
    <fill>
      <patternFill patternType="solid">
        <fgColor rgb="FFE7413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30"/>
      </top>
      <bottom style="hair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hair">
        <color indexed="62"/>
      </bottom>
      <diagonal/>
    </border>
    <border>
      <left/>
      <right/>
      <top style="hair">
        <color indexed="62"/>
      </top>
      <bottom style="hair">
        <color indexed="62"/>
      </bottom>
      <diagonal/>
    </border>
    <border>
      <left/>
      <right/>
      <top style="hair">
        <color rgb="FF0066CC"/>
      </top>
      <bottom style="hair">
        <color rgb="FF0066CC"/>
      </bottom>
      <diagonal/>
    </border>
    <border>
      <left/>
      <right/>
      <top style="thin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3" tint="0.39991454817346722"/>
      </top>
      <bottom style="hair">
        <color theme="3" tint="0.39991454817346722"/>
      </bottom>
      <diagonal/>
    </border>
    <border>
      <left/>
      <right/>
      <top/>
      <bottom style="dotted">
        <color theme="0"/>
      </bottom>
      <diagonal/>
    </border>
    <border>
      <left/>
      <right/>
      <top/>
      <bottom style="thin">
        <color rgb="FF441051"/>
      </bottom>
      <diagonal/>
    </border>
    <border>
      <left style="hair">
        <color rgb="FF646363"/>
      </left>
      <right style="hair">
        <color rgb="FF646363"/>
      </right>
      <top/>
      <bottom style="hair">
        <color indexed="64"/>
      </bottom>
      <diagonal/>
    </border>
    <border>
      <left style="hair">
        <color rgb="FF646363"/>
      </left>
      <right/>
      <top/>
      <bottom style="hair">
        <color indexed="64"/>
      </bottom>
      <diagonal/>
    </border>
    <border>
      <left style="hair">
        <color rgb="FF646363"/>
      </left>
      <right style="hair">
        <color rgb="FF646363"/>
      </right>
      <top style="hair">
        <color indexed="64"/>
      </top>
      <bottom style="hair">
        <color indexed="64"/>
      </bottom>
      <diagonal/>
    </border>
    <border>
      <left style="hair">
        <color rgb="FF646363"/>
      </left>
      <right/>
      <top/>
      <bottom/>
      <diagonal/>
    </border>
    <border>
      <left style="hair">
        <color rgb="FF646363"/>
      </left>
      <right style="hair">
        <color rgb="FF646363"/>
      </right>
      <top style="hair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mediumDashed">
        <color rgb="FFF7A600"/>
      </left>
      <right/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/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 style="mediumDashed">
        <color rgb="FFF7A600"/>
      </right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 style="hair">
        <color rgb="FF646363"/>
      </right>
      <top style="hair">
        <color rgb="FF646363"/>
      </top>
      <bottom style="hair">
        <color rgb="FF646363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auto="1"/>
      </bottom>
      <diagonal/>
    </border>
    <border>
      <left style="hair">
        <color rgb="FF646363"/>
      </left>
      <right style="hair">
        <color rgb="FF646363"/>
      </right>
      <top/>
      <bottom style="hair">
        <color rgb="FF646363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rgb="FF646363"/>
      </bottom>
      <diagonal/>
    </border>
    <border>
      <left/>
      <right style="hair">
        <color theme="0"/>
      </right>
      <top/>
      <bottom style="thin">
        <color rgb="FF441051"/>
      </bottom>
      <diagonal/>
    </border>
    <border>
      <left/>
      <right style="hair">
        <color theme="0"/>
      </right>
      <top/>
      <bottom/>
      <diagonal/>
    </border>
    <border>
      <left/>
      <right/>
      <top/>
      <bottom style="dotted">
        <color rgb="FFCCCCCC"/>
      </bottom>
      <diagonal/>
    </border>
    <border>
      <left/>
      <right style="dotted">
        <color rgb="FFCCCCCC"/>
      </right>
      <top/>
      <bottom/>
      <diagonal/>
    </border>
    <border>
      <left/>
      <right style="dotted">
        <color rgb="FFCCCCCC"/>
      </right>
      <top style="dotted">
        <color rgb="FFCCCCCC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1" fontId="0" fillId="0" borderId="0" xfId="0" applyNumberFormat="1"/>
    <xf numFmtId="0" fontId="2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165" fontId="10" fillId="2" borderId="0" xfId="3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" fontId="10" fillId="2" borderId="0" xfId="0" applyNumberFormat="1" applyFont="1" applyFill="1" applyBorder="1" applyAlignment="1">
      <alignment horizontal="center" vertical="center"/>
    </xf>
    <xf numFmtId="3" fontId="11" fillId="2" borderId="0" xfId="2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2" applyFont="1" applyAlignment="1">
      <alignment horizontal="center"/>
    </xf>
    <xf numFmtId="3" fontId="0" fillId="0" borderId="0" xfId="0" applyNumberFormat="1"/>
    <xf numFmtId="0" fontId="13" fillId="0" borderId="0" xfId="0" applyNumberFormat="1" applyFont="1" applyFill="1" applyBorder="1" applyAlignment="1">
      <alignment horizontal="center" vertical="center" wrapText="1"/>
    </xf>
    <xf numFmtId="3" fontId="14" fillId="0" borderId="0" xfId="2" applyNumberFormat="1" applyFont="1" applyBorder="1" applyAlignment="1">
      <alignment horizontal="left"/>
    </xf>
    <xf numFmtId="3" fontId="14" fillId="0" borderId="3" xfId="2" applyNumberFormat="1" applyFont="1" applyBorder="1" applyAlignment="1">
      <alignment horizontal="left"/>
    </xf>
    <xf numFmtId="0" fontId="0" fillId="0" borderId="0" xfId="0" applyBorder="1"/>
    <xf numFmtId="0" fontId="13" fillId="0" borderId="0" xfId="0" quotePrefix="1" applyNumberFormat="1" applyFont="1" applyFill="1" applyBorder="1"/>
    <xf numFmtId="0" fontId="0" fillId="0" borderId="0" xfId="0" applyFill="1" applyBorder="1"/>
    <xf numFmtId="3" fontId="6" fillId="3" borderId="1" xfId="2" applyNumberFormat="1" applyFont="1" applyFill="1" applyBorder="1" applyAlignment="1">
      <alignment horizontal="center"/>
    </xf>
    <xf numFmtId="165" fontId="6" fillId="3" borderId="1" xfId="3" applyNumberFormat="1" applyFont="1" applyFill="1" applyBorder="1" applyAlignment="1">
      <alignment horizontal="center"/>
    </xf>
    <xf numFmtId="3" fontId="8" fillId="3" borderId="0" xfId="0" applyNumberFormat="1" applyFont="1" applyFill="1" applyBorder="1" applyAlignment="1">
      <alignment horizontal="center"/>
    </xf>
    <xf numFmtId="165" fontId="7" fillId="3" borderId="0" xfId="3" applyNumberFormat="1" applyFont="1" applyFill="1" applyBorder="1" applyAlignment="1">
      <alignment horizontal="center"/>
    </xf>
    <xf numFmtId="3" fontId="14" fillId="0" borderId="0" xfId="2" applyNumberFormat="1" applyFont="1" applyFill="1" applyBorder="1"/>
    <xf numFmtId="0" fontId="5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65" fontId="8" fillId="3" borderId="0" xfId="3" applyNumberFormat="1" applyFont="1" applyFill="1" applyBorder="1" applyAlignment="1">
      <alignment horizontal="center"/>
    </xf>
    <xf numFmtId="3" fontId="8" fillId="3" borderId="0" xfId="0" applyNumberFormat="1" applyFont="1" applyFill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3" fontId="9" fillId="3" borderId="2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0" fontId="15" fillId="3" borderId="2" xfId="2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/>
    </xf>
    <xf numFmtId="3" fontId="14" fillId="0" borderId="3" xfId="2" applyNumberFormat="1" applyFont="1" applyBorder="1" applyAlignment="1">
      <alignment horizontal="right"/>
    </xf>
    <xf numFmtId="3" fontId="11" fillId="3" borderId="0" xfId="0" applyNumberFormat="1" applyFont="1" applyFill="1" applyAlignment="1">
      <alignment horizontal="left"/>
    </xf>
    <xf numFmtId="1" fontId="11" fillId="3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left"/>
    </xf>
    <xf numFmtId="165" fontId="7" fillId="0" borderId="0" xfId="3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quotePrefix="1" applyNumberFormat="1"/>
    <xf numFmtId="166" fontId="10" fillId="2" borderId="0" xfId="1" applyNumberFormat="1" applyFont="1" applyFill="1" applyBorder="1" applyAlignment="1">
      <alignment horizontal="center" vertical="center"/>
    </xf>
    <xf numFmtId="1" fontId="15" fillId="3" borderId="2" xfId="2" applyNumberFormat="1" applyFont="1" applyFill="1" applyBorder="1" applyAlignment="1">
      <alignment horizontal="center" vertical="center"/>
    </xf>
    <xf numFmtId="0" fontId="0" fillId="0" borderId="0" xfId="0" quotePrefix="1" applyNumberFormat="1" applyFill="1" applyBorder="1"/>
    <xf numFmtId="3" fontId="14" fillId="0" borderId="7" xfId="2" applyNumberFormat="1" applyFont="1" applyBorder="1" applyAlignment="1">
      <alignment horizontal="left"/>
    </xf>
    <xf numFmtId="3" fontId="14" fillId="0" borderId="0" xfId="2" applyNumberFormat="1" applyFont="1" applyBorder="1"/>
    <xf numFmtId="3" fontId="14" fillId="0" borderId="7" xfId="2" applyNumberFormat="1" applyFont="1" applyBorder="1"/>
    <xf numFmtId="1" fontId="14" fillId="0" borderId="8" xfId="2" applyNumberFormat="1" applyFont="1" applyBorder="1" applyAlignment="1">
      <alignment horizontal="center"/>
    </xf>
    <xf numFmtId="1" fontId="14" fillId="0" borderId="9" xfId="2" applyNumberFormat="1" applyFont="1" applyBorder="1" applyAlignment="1">
      <alignment horizontal="center"/>
    </xf>
    <xf numFmtId="3" fontId="14" fillId="0" borderId="0" xfId="2" applyNumberFormat="1" applyFont="1" applyBorder="1" applyAlignment="1">
      <alignment horizontal="right"/>
    </xf>
    <xf numFmtId="3" fontId="14" fillId="0" borderId="7" xfId="2" applyNumberFormat="1" applyFont="1" applyBorder="1" applyAlignment="1">
      <alignment horizontal="right"/>
    </xf>
    <xf numFmtId="1" fontId="14" fillId="0" borderId="5" xfId="2" applyNumberFormat="1" applyFont="1" applyBorder="1" applyAlignment="1">
      <alignment horizontal="center"/>
    </xf>
    <xf numFmtId="1" fontId="14" fillId="0" borderId="6" xfId="2" applyNumberFormat="1" applyFont="1" applyBorder="1" applyAlignment="1">
      <alignment horizontal="center"/>
    </xf>
    <xf numFmtId="3" fontId="14" fillId="0" borderId="7" xfId="2" applyNumberFormat="1" applyFont="1" applyFill="1" applyBorder="1"/>
    <xf numFmtId="2" fontId="0" fillId="0" borderId="0" xfId="0" applyNumberFormat="1"/>
    <xf numFmtId="164" fontId="0" fillId="0" borderId="0" xfId="0" applyNumberFormat="1"/>
    <xf numFmtId="165" fontId="0" fillId="0" borderId="0" xfId="3" applyNumberFormat="1" applyFont="1"/>
    <xf numFmtId="165" fontId="5" fillId="5" borderId="0" xfId="3" applyNumberFormat="1" applyFont="1" applyFill="1"/>
    <xf numFmtId="1" fontId="14" fillId="0" borderId="0" xfId="4" applyNumberFormat="1" applyFont="1" applyBorder="1"/>
    <xf numFmtId="0" fontId="0" fillId="0" borderId="0" xfId="0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3" fontId="10" fillId="6" borderId="0" xfId="0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3" fontId="8" fillId="6" borderId="0" xfId="0" applyNumberFormat="1" applyFont="1" applyFill="1" applyBorder="1" applyAlignment="1">
      <alignment horizontal="center"/>
    </xf>
    <xf numFmtId="3" fontId="6" fillId="3" borderId="0" xfId="2" applyNumberFormat="1" applyFont="1" applyFill="1" applyBorder="1" applyAlignment="1">
      <alignment horizontal="center"/>
    </xf>
    <xf numFmtId="165" fontId="6" fillId="3" borderId="0" xfId="3" applyNumberFormat="1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center" vertical="center"/>
    </xf>
    <xf numFmtId="3" fontId="9" fillId="3" borderId="0" xfId="0" applyNumberFormat="1" applyFont="1" applyFill="1" applyBorder="1" applyAlignment="1">
      <alignment horizontal="center"/>
    </xf>
    <xf numFmtId="165" fontId="6" fillId="3" borderId="0" xfId="3" applyNumberFormat="1" applyFont="1" applyFill="1" applyBorder="1" applyAlignment="1">
      <alignment horizontal="center" vertical="center"/>
    </xf>
    <xf numFmtId="3" fontId="10" fillId="3" borderId="0" xfId="0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0" xfId="2" applyFont="1" applyAlignment="1">
      <alignment horizontal="center"/>
    </xf>
    <xf numFmtId="0" fontId="21" fillId="0" borderId="0" xfId="0" applyFont="1" applyFill="1"/>
    <xf numFmtId="0" fontId="21" fillId="0" borderId="0" xfId="0" applyFont="1"/>
    <xf numFmtId="0" fontId="22" fillId="0" borderId="0" xfId="0" applyFont="1"/>
    <xf numFmtId="0" fontId="24" fillId="8" borderId="10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left" vertical="center" indent="1"/>
    </xf>
    <xf numFmtId="0" fontId="24" fillId="8" borderId="10" xfId="0" applyFont="1" applyFill="1" applyBorder="1" applyAlignment="1">
      <alignment horizontal="right" vertical="center" indent="1"/>
    </xf>
    <xf numFmtId="3" fontId="26" fillId="0" borderId="13" xfId="0" applyNumberFormat="1" applyFont="1" applyBorder="1" applyAlignment="1">
      <alignment horizontal="center" vertical="center"/>
    </xf>
    <xf numFmtId="3" fontId="26" fillId="0" borderId="14" xfId="0" applyNumberFormat="1" applyFont="1" applyBorder="1" applyAlignment="1">
      <alignment horizontal="center" vertical="center"/>
    </xf>
    <xf numFmtId="165" fontId="26" fillId="0" borderId="14" xfId="3" applyNumberFormat="1" applyFont="1" applyBorder="1" applyAlignment="1">
      <alignment horizontal="center" vertical="center"/>
    </xf>
    <xf numFmtId="3" fontId="26" fillId="0" borderId="15" xfId="0" applyNumberFormat="1" applyFont="1" applyBorder="1" applyAlignment="1">
      <alignment horizontal="center" vertical="center"/>
    </xf>
    <xf numFmtId="165" fontId="26" fillId="0" borderId="16" xfId="3" applyNumberFormat="1" applyFont="1" applyBorder="1" applyAlignment="1">
      <alignment horizontal="center" vertical="center"/>
    </xf>
    <xf numFmtId="165" fontId="26" fillId="0" borderId="12" xfId="3" applyNumberFormat="1" applyFont="1" applyBorder="1" applyAlignment="1">
      <alignment horizontal="center" vertical="center"/>
    </xf>
    <xf numFmtId="0" fontId="24" fillId="8" borderId="0" xfId="0" applyFont="1" applyFill="1" applyBorder="1" applyAlignment="1">
      <alignment horizontal="left" vertical="center" indent="1"/>
    </xf>
    <xf numFmtId="0" fontId="24" fillId="8" borderId="18" xfId="0" applyFont="1" applyFill="1" applyBorder="1" applyAlignment="1">
      <alignment horizontal="left" vertical="center" indent="1"/>
    </xf>
    <xf numFmtId="3" fontId="26" fillId="0" borderId="19" xfId="0" applyNumberFormat="1" applyFont="1" applyBorder="1" applyAlignment="1">
      <alignment horizontal="center" vertical="center"/>
    </xf>
    <xf numFmtId="165" fontId="26" fillId="0" borderId="20" xfId="3" applyNumberFormat="1" applyFont="1" applyBorder="1" applyAlignment="1">
      <alignment horizontal="center" vertical="center"/>
    </xf>
    <xf numFmtId="3" fontId="26" fillId="0" borderId="21" xfId="0" applyNumberFormat="1" applyFont="1" applyBorder="1" applyAlignment="1">
      <alignment horizontal="center" vertical="center"/>
    </xf>
    <xf numFmtId="165" fontId="26" fillId="0" borderId="21" xfId="3" applyNumberFormat="1" applyFont="1" applyBorder="1" applyAlignment="1">
      <alignment horizontal="center" vertical="center"/>
    </xf>
    <xf numFmtId="3" fontId="26" fillId="0" borderId="23" xfId="0" applyNumberFormat="1" applyFont="1" applyBorder="1" applyAlignment="1">
      <alignment horizontal="center" vertical="center"/>
    </xf>
    <xf numFmtId="165" fontId="26" fillId="0" borderId="23" xfId="3" applyNumberFormat="1" applyFont="1" applyBorder="1" applyAlignment="1">
      <alignment horizontal="center" vertical="center"/>
    </xf>
    <xf numFmtId="0" fontId="24" fillId="9" borderId="22" xfId="0" applyFont="1" applyFill="1" applyBorder="1" applyAlignment="1">
      <alignment horizontal="center" vertical="center" wrapText="1"/>
    </xf>
    <xf numFmtId="0" fontId="24" fillId="7" borderId="22" xfId="0" applyFont="1" applyFill="1" applyBorder="1" applyAlignment="1">
      <alignment horizontal="center" vertical="center" wrapText="1"/>
    </xf>
    <xf numFmtId="165" fontId="26" fillId="4" borderId="21" xfId="3" applyNumberFormat="1" applyFont="1" applyFill="1" applyBorder="1" applyAlignment="1">
      <alignment horizontal="center" vertical="center"/>
    </xf>
    <xf numFmtId="0" fontId="24" fillId="9" borderId="24" xfId="0" applyFont="1" applyFill="1" applyBorder="1" applyAlignment="1">
      <alignment horizontal="center" vertical="center" wrapText="1"/>
    </xf>
    <xf numFmtId="0" fontId="24" fillId="7" borderId="24" xfId="0" applyFont="1" applyFill="1" applyBorder="1" applyAlignment="1">
      <alignment horizontal="center" vertical="center" wrapText="1"/>
    </xf>
    <xf numFmtId="0" fontId="24" fillId="9" borderId="24" xfId="0" applyFont="1" applyFill="1" applyBorder="1" applyAlignment="1">
      <alignment horizontal="center" vertical="center"/>
    </xf>
    <xf numFmtId="0" fontId="25" fillId="0" borderId="11" xfId="0" applyFont="1" applyBorder="1" applyAlignment="1">
      <alignment vertical="center" readingOrder="1"/>
    </xf>
    <xf numFmtId="0" fontId="28" fillId="0" borderId="0" xfId="0" applyFont="1" applyAlignment="1">
      <alignment horizontal="center" vertical="center" wrapText="1" readingOrder="1"/>
    </xf>
    <xf numFmtId="0" fontId="24" fillId="8" borderId="1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24" fillId="10" borderId="0" xfId="0" applyFont="1" applyFill="1"/>
    <xf numFmtId="0" fontId="24" fillId="10" borderId="0" xfId="3" applyNumberFormat="1" applyFont="1" applyFill="1"/>
    <xf numFmtId="3" fontId="24" fillId="10" borderId="0" xfId="0" applyNumberFormat="1" applyFont="1" applyFill="1"/>
    <xf numFmtId="1" fontId="24" fillId="10" borderId="0" xfId="0" applyNumberFormat="1" applyFont="1" applyFill="1"/>
    <xf numFmtId="165" fontId="24" fillId="10" borderId="0" xfId="3" applyNumberFormat="1" applyFont="1" applyFill="1"/>
    <xf numFmtId="0" fontId="31" fillId="10" borderId="0" xfId="0" applyFont="1" applyFill="1" applyAlignment="1">
      <alignment horizontal="center" vertical="center" wrapText="1"/>
    </xf>
    <xf numFmtId="3" fontId="8" fillId="5" borderId="0" xfId="0" applyNumberFormat="1" applyFont="1" applyFill="1" applyBorder="1" applyAlignment="1">
      <alignment horizontal="center"/>
    </xf>
    <xf numFmtId="3" fontId="6" fillId="5" borderId="1" xfId="2" applyNumberFormat="1" applyFont="1" applyFill="1" applyBorder="1" applyAlignment="1">
      <alignment horizontal="center"/>
    </xf>
    <xf numFmtId="3" fontId="11" fillId="5" borderId="0" xfId="2" applyNumberFormat="1" applyFont="1" applyFill="1" applyBorder="1" applyAlignment="1">
      <alignment horizontal="center"/>
    </xf>
    <xf numFmtId="165" fontId="7" fillId="5" borderId="0" xfId="3" applyNumberFormat="1" applyFont="1" applyFill="1" applyBorder="1" applyAlignment="1">
      <alignment horizontal="center"/>
    </xf>
    <xf numFmtId="165" fontId="6" fillId="5" borderId="1" xfId="3" applyNumberFormat="1" applyFont="1" applyFill="1" applyBorder="1" applyAlignment="1">
      <alignment horizontal="center"/>
    </xf>
    <xf numFmtId="3" fontId="10" fillId="5" borderId="0" xfId="0" applyNumberFormat="1" applyFont="1" applyFill="1" applyBorder="1" applyAlignment="1">
      <alignment horizontal="center" vertical="center"/>
    </xf>
    <xf numFmtId="3" fontId="6" fillId="5" borderId="0" xfId="2" applyNumberFormat="1" applyFont="1" applyFill="1" applyBorder="1" applyAlignment="1">
      <alignment horizontal="center"/>
    </xf>
    <xf numFmtId="3" fontId="6" fillId="5" borderId="1" xfId="3" applyNumberFormat="1" applyFont="1" applyFill="1" applyBorder="1" applyAlignment="1">
      <alignment horizontal="center"/>
    </xf>
    <xf numFmtId="3" fontId="6" fillId="5" borderId="0" xfId="3" applyNumberFormat="1" applyFont="1" applyFill="1" applyBorder="1" applyAlignment="1">
      <alignment horizontal="center"/>
    </xf>
    <xf numFmtId="3" fontId="6" fillId="5" borderId="1" xfId="0" applyNumberFormat="1" applyFont="1" applyFill="1" applyBorder="1" applyAlignment="1">
      <alignment horizontal="center" vertical="center"/>
    </xf>
    <xf numFmtId="3" fontId="6" fillId="5" borderId="0" xfId="0" applyNumberFormat="1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/>
    </xf>
    <xf numFmtId="3" fontId="9" fillId="5" borderId="0" xfId="0" applyNumberFormat="1" applyFont="1" applyFill="1" applyBorder="1" applyAlignment="1">
      <alignment horizontal="center"/>
    </xf>
    <xf numFmtId="1" fontId="8" fillId="5" borderId="0" xfId="3" applyNumberFormat="1" applyFont="1" applyFill="1" applyBorder="1" applyAlignment="1">
      <alignment horizontal="center"/>
    </xf>
    <xf numFmtId="165" fontId="10" fillId="5" borderId="0" xfId="3" applyNumberFormat="1" applyFont="1" applyFill="1" applyBorder="1" applyAlignment="1">
      <alignment horizontal="center" vertical="center"/>
    </xf>
    <xf numFmtId="165" fontId="6" fillId="5" borderId="2" xfId="3" applyNumberFormat="1" applyFont="1" applyFill="1" applyBorder="1" applyAlignment="1">
      <alignment horizontal="center" vertical="center"/>
    </xf>
    <xf numFmtId="165" fontId="6" fillId="5" borderId="0" xfId="3" applyNumberFormat="1" applyFont="1" applyFill="1" applyBorder="1" applyAlignment="1">
      <alignment horizontal="center" vertical="center"/>
    </xf>
    <xf numFmtId="165" fontId="8" fillId="5" borderId="0" xfId="3" applyNumberFormat="1" applyFont="1" applyFill="1" applyBorder="1" applyAlignment="1">
      <alignment horizontal="center"/>
    </xf>
    <xf numFmtId="165" fontId="6" fillId="5" borderId="0" xfId="3" applyNumberFormat="1" applyFont="1" applyFill="1" applyBorder="1" applyAlignment="1">
      <alignment horizontal="center"/>
    </xf>
    <xf numFmtId="3" fontId="10" fillId="11" borderId="0" xfId="0" applyNumberFormat="1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0" fontId="32" fillId="0" borderId="0" xfId="0" quotePrefix="1" applyNumberFormat="1" applyFont="1"/>
    <xf numFmtId="0" fontId="32" fillId="0" borderId="0" xfId="0" applyFont="1"/>
    <xf numFmtId="0" fontId="0" fillId="0" borderId="27" xfId="0" applyBorder="1"/>
    <xf numFmtId="0" fontId="33" fillId="0" borderId="28" xfId="0" applyFont="1" applyBorder="1" applyAlignment="1">
      <alignment horizontal="left" vertical="center" wrapText="1" indent="1"/>
    </xf>
    <xf numFmtId="0" fontId="33" fillId="0" borderId="29" xfId="0" applyFont="1" applyBorder="1" applyAlignment="1">
      <alignment horizontal="left" vertical="center" wrapText="1" indent="1"/>
    </xf>
    <xf numFmtId="0" fontId="1" fillId="0" borderId="0" xfId="0" applyFont="1" applyFill="1" applyAlignment="1">
      <alignment horizontal="center" vertical="center" wrapText="1"/>
    </xf>
    <xf numFmtId="0" fontId="28" fillId="0" borderId="11" xfId="0" applyFont="1" applyBorder="1" applyAlignment="1">
      <alignment horizontal="right" vertical="center" readingOrder="1"/>
    </xf>
    <xf numFmtId="0" fontId="28" fillId="0" borderId="25" xfId="0" applyFont="1" applyBorder="1" applyAlignment="1">
      <alignment horizontal="right" vertical="center" readingOrder="1"/>
    </xf>
    <xf numFmtId="3" fontId="29" fillId="0" borderId="0" xfId="0" applyNumberFormat="1" applyFont="1" applyBorder="1" applyAlignment="1">
      <alignment horizontal="center" vertical="center" wrapText="1"/>
    </xf>
    <xf numFmtId="0" fontId="24" fillId="9" borderId="17" xfId="0" applyFont="1" applyFill="1" applyBorder="1" applyAlignment="1">
      <alignment horizontal="center" vertical="center"/>
    </xf>
    <xf numFmtId="0" fontId="30" fillId="10" borderId="0" xfId="0" applyFont="1" applyFill="1" applyBorder="1" applyAlignment="1" applyProtection="1">
      <alignment horizontal="center"/>
      <protection locked="0"/>
    </xf>
    <xf numFmtId="0" fontId="24" fillId="7" borderId="17" xfId="0" applyFont="1" applyFill="1" applyBorder="1" applyAlignment="1">
      <alignment horizontal="center" vertical="center"/>
    </xf>
    <xf numFmtId="0" fontId="28" fillId="0" borderId="0" xfId="0" applyFont="1" applyAlignment="1">
      <alignment horizontal="right" vertical="center" readingOrder="1"/>
    </xf>
    <xf numFmtId="0" fontId="28" fillId="0" borderId="26" xfId="0" applyFont="1" applyBorder="1" applyAlignment="1">
      <alignment horizontal="right" vertical="center" readingOrder="1"/>
    </xf>
    <xf numFmtId="0" fontId="24" fillId="8" borderId="10" xfId="0" applyFont="1" applyFill="1" applyBorder="1" applyAlignment="1">
      <alignment horizontal="left" vertical="center" indent="1"/>
    </xf>
    <xf numFmtId="0" fontId="24" fillId="8" borderId="10" xfId="0" applyFont="1" applyFill="1" applyBorder="1" applyAlignment="1">
      <alignment horizontal="right" vertical="center" indent="1"/>
    </xf>
  </cellXfs>
  <cellStyles count="5">
    <cellStyle name="Milliers" xfId="1" builtinId="3"/>
    <cellStyle name="Normal" xfId="0" builtinId="0"/>
    <cellStyle name="Normal 2" xfId="2"/>
    <cellStyle name="Pourcentage" xfId="3" builtinId="5"/>
    <cellStyle name="Pourcentage 2" xfId="4"/>
  </cellStyles>
  <dxfs count="3">
    <dxf>
      <font>
        <color theme="0"/>
      </font>
      <fill>
        <patternFill patternType="solid"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77C9E"/>
      <rgbColor rgb="00CC99FF"/>
      <rgbColor rgb="003D2647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4B4B"/>
      <color rgb="FFF7A600"/>
      <color rgb="FFE8423B"/>
      <color rgb="FF646363"/>
      <color rgb="FF441051"/>
      <color rgb="FFFAFAFA"/>
      <color rgb="FF663D72"/>
      <color rgb="FFE7413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u="none">
                <a:solidFill>
                  <a:srgbClr val="441051"/>
                </a:solidFill>
                <a:latin typeface="+mn-lt"/>
              </a:defRPr>
            </a:pPr>
            <a:r>
              <a:rPr lang="fr-FR" sz="1400" b="1" u="none">
                <a:solidFill>
                  <a:srgbClr val="441051"/>
                </a:solidFill>
                <a:latin typeface="+mn-lt"/>
              </a:rPr>
              <a:t>Zoom sur les</a:t>
            </a:r>
            <a:r>
              <a:rPr lang="fr-FR" sz="1400" b="1" u="none" baseline="0">
                <a:solidFill>
                  <a:srgbClr val="441051"/>
                </a:solidFill>
                <a:latin typeface="+mn-lt"/>
              </a:rPr>
              <a:t> projets de recrutement du secteur des services</a:t>
            </a:r>
            <a:endParaRPr lang="fr-FR" sz="1400" b="1" u="none">
              <a:solidFill>
                <a:srgbClr val="441051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125858945051223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530484261986336E-2"/>
          <c:y val="0.2047591883831858"/>
          <c:w val="0.98646944977011075"/>
          <c:h val="0.309700234839066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7A600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rgbClr val="646363"/>
                    </a:solidFill>
                    <a:latin typeface="+mn-lt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Outil!$M$108:$M$116</c:f>
              <c:strCache>
                <c:ptCount val="9"/>
                <c:pt idx="0">
                  <c:v>Activités financières et d'assurance</c:v>
                </c:pt>
                <c:pt idx="1">
                  <c:v>Activités immobilières</c:v>
                </c:pt>
                <c:pt idx="2">
                  <c:v>Administration publique, enseignement</c:v>
                </c:pt>
                <c:pt idx="3">
                  <c:v>Autres activités de services</c:v>
                </c:pt>
                <c:pt idx="4">
                  <c:v>Hébergement et restauration</c:v>
                </c:pt>
                <c:pt idx="5">
                  <c:v>Information et communication</c:v>
                </c:pt>
                <c:pt idx="6">
                  <c:v>Santé humaine et action sociale</c:v>
                </c:pt>
                <c:pt idx="7">
                  <c:v>Services scien., tech., adm. et soutien</c:v>
                </c:pt>
                <c:pt idx="8">
                  <c:v>Transports et entreposage</c:v>
                </c:pt>
              </c:strCache>
            </c:strRef>
          </c:cat>
          <c:val>
            <c:numRef>
              <c:f>Outil!$N$108:$N$116</c:f>
              <c:numCache>
                <c:formatCode>#,##0</c:formatCode>
                <c:ptCount val="9"/>
                <c:pt idx="0">
                  <c:v>373.62639046436124</c:v>
                </c:pt>
                <c:pt idx="1">
                  <c:v>292.26587149957828</c:v>
                </c:pt>
                <c:pt idx="2">
                  <c:v>1912.5038048838419</c:v>
                </c:pt>
                <c:pt idx="3">
                  <c:v>2107.5388220408145</c:v>
                </c:pt>
                <c:pt idx="4">
                  <c:v>2933.6280650539229</c:v>
                </c:pt>
                <c:pt idx="5">
                  <c:v>855.78560058661037</c:v>
                </c:pt>
                <c:pt idx="6">
                  <c:v>3780.4023055466869</c:v>
                </c:pt>
                <c:pt idx="7">
                  <c:v>6306.5140954828203</c:v>
                </c:pt>
                <c:pt idx="8">
                  <c:v>2477.158449457902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28416"/>
        <c:axId val="120429952"/>
      </c:barChart>
      <c:catAx>
        <c:axId val="1204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rgbClr val="646363"/>
                </a:solidFill>
                <a:latin typeface="+mn-lt"/>
              </a:defRPr>
            </a:pPr>
            <a:endParaRPr lang="fr-FR"/>
          </a:p>
        </c:txPr>
        <c:crossAx val="120429952"/>
        <c:crosses val="autoZero"/>
        <c:auto val="1"/>
        <c:lblAlgn val="ctr"/>
        <c:lblOffset val="100"/>
        <c:noMultiLvlLbl val="0"/>
      </c:catAx>
      <c:valAx>
        <c:axId val="120429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0428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fr-FR" sz="1400" b="1" i="0" u="none" strike="noStrike" kern="1200" baseline="0">
                <a:solidFill>
                  <a:srgbClr val="441051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kern="1200" baseline="0">
                <a:solidFill>
                  <a:srgbClr val="441051"/>
                </a:solidFill>
                <a:latin typeface="+mn-lt"/>
                <a:ea typeface="+mn-ea"/>
                <a:cs typeface="+mn-cs"/>
              </a:rPr>
              <a:t>Nombre de projets de recrutement par taille de l'établissement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609726677365861E-2"/>
          <c:y val="0.21080247731810126"/>
          <c:w val="0.96487826592811798"/>
          <c:h val="0.55815518517687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8423B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 algn="ctr">
                  <a:defRPr lang="fr-FR" sz="900" b="1" i="0" u="none" strike="noStrike" kern="1200" baseline="0">
                    <a:solidFill>
                      <a:srgbClr val="64636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Outil!$M$122:$M$129</c:f>
              <c:strCache>
                <c:ptCount val="8"/>
                <c:pt idx="0">
                  <c:v>0 salarié</c:v>
                </c:pt>
                <c:pt idx="1">
                  <c:v>1 à 4 salariés</c:v>
                </c:pt>
                <c:pt idx="2">
                  <c:v>5 à 9 salariés</c:v>
                </c:pt>
                <c:pt idx="3">
                  <c:v>10 à 19 salariés</c:v>
                </c:pt>
                <c:pt idx="4">
                  <c:v>20 à 49 salariés</c:v>
                </c:pt>
                <c:pt idx="5">
                  <c:v>50 à 99 salariés</c:v>
                </c:pt>
                <c:pt idx="6">
                  <c:v>100 à 199 salariés</c:v>
                </c:pt>
                <c:pt idx="7">
                  <c:v>200 salariés et plus</c:v>
                </c:pt>
              </c:strCache>
            </c:strRef>
          </c:cat>
          <c:val>
            <c:numRef>
              <c:f>Outil!$N$122:$N$129</c:f>
              <c:numCache>
                <c:formatCode>0</c:formatCode>
                <c:ptCount val="8"/>
                <c:pt idx="0">
                  <c:v>3243.7944306042027</c:v>
                </c:pt>
                <c:pt idx="1">
                  <c:v>3221.2833684238999</c:v>
                </c:pt>
                <c:pt idx="2">
                  <c:v>2550.2514077303263</c:v>
                </c:pt>
                <c:pt idx="3">
                  <c:v>3525.7053532201003</c:v>
                </c:pt>
                <c:pt idx="4">
                  <c:v>4934.4391815795834</c:v>
                </c:pt>
                <c:pt idx="5">
                  <c:v>4040.5974081680783</c:v>
                </c:pt>
                <c:pt idx="6">
                  <c:v>3035.7346688121002</c:v>
                </c:pt>
                <c:pt idx="7">
                  <c:v>5742.4219177180503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24384"/>
        <c:axId val="133022848"/>
      </c:barChart>
      <c:valAx>
        <c:axId val="13302284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low"/>
        <c:crossAx val="133024384"/>
        <c:crosses val="max"/>
        <c:crossBetween val="between"/>
      </c:valAx>
      <c:catAx>
        <c:axId val="133024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 algn="ctr">
              <a:defRPr lang="fr-FR" sz="1000" b="0" i="0" u="none" strike="noStrike" kern="1200" baseline="0">
                <a:solidFill>
                  <a:srgbClr val="646363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02284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L$2" fmlaRange="'Liste bassin'!$B$1:$B$38" noThreeD="1" sel="8" val="4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statistiques.pole-emploi.org/bmo/static/bmoenquete2016" TargetMode="External"/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http://statistiques.pole-emploi.org/bmo/static/bmoenquete2018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5.png"/><Relationship Id="rId10" Type="http://schemas.openxmlformats.org/officeDocument/2006/relationships/chart" Target="../charts/chart2.xml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26" Type="http://schemas.openxmlformats.org/officeDocument/2006/relationships/image" Target="../media/image34.pn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34" Type="http://schemas.openxmlformats.org/officeDocument/2006/relationships/image" Target="../media/image4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3.png"/><Relationship Id="rId33" Type="http://schemas.openxmlformats.org/officeDocument/2006/relationships/image" Target="../media/image41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32" Type="http://schemas.openxmlformats.org/officeDocument/2006/relationships/image" Target="../media/image40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31" Type="http://schemas.openxmlformats.org/officeDocument/2006/relationships/image" Target="../media/image39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145678</xdr:rowOff>
        </xdr:from>
        <xdr:to>
          <xdr:col>3</xdr:col>
          <xdr:colOff>83025</xdr:colOff>
          <xdr:row>35</xdr:row>
          <xdr:rowOff>5176</xdr:rowOff>
        </xdr:to>
        <xdr:pic>
          <xdr:nvPicPr>
            <xdr:cNvPr id="1707161" name="Image 20"/>
            <xdr:cNvPicPr>
              <a:picLocks noChangeAspect="1" noChangeArrowheads="1"/>
              <a:extLst>
                <a:ext uri="{84589F7E-364E-4C9E-8A38-B11213B215E9}">
                  <a14:cameraTool cellRange="IMAGE_SELECTION" spid="_x0000_s1707795"/>
                </a:ext>
              </a:extLst>
            </xdr:cNvPicPr>
          </xdr:nvPicPr>
          <xdr:blipFill>
            <a:blip xmlns:r="http://schemas.openxmlformats.org/officeDocument/2006/relationships" r:embed="rId1"/>
            <a:srcRect l="2985" t="1894" r="3484" b="4102"/>
            <a:stretch>
              <a:fillRect/>
            </a:stretch>
          </xdr:blipFill>
          <xdr:spPr bwMode="auto">
            <a:xfrm>
              <a:off x="0" y="3328149"/>
              <a:ext cx="3713731" cy="29695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9</xdr:col>
      <xdr:colOff>736370</xdr:colOff>
      <xdr:row>18</xdr:row>
      <xdr:rowOff>22412</xdr:rowOff>
    </xdr:to>
    <xdr:pic>
      <xdr:nvPicPr>
        <xdr:cNvPr id="2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59664" cy="289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67236</xdr:rowOff>
    </xdr:from>
    <xdr:to>
      <xdr:col>9</xdr:col>
      <xdr:colOff>739673</xdr:colOff>
      <xdr:row>84</xdr:row>
      <xdr:rowOff>131671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939"/>
        <a:stretch/>
      </xdr:blipFill>
      <xdr:spPr>
        <a:xfrm>
          <a:off x="0" y="14265089"/>
          <a:ext cx="10062967" cy="1319494"/>
        </a:xfrm>
        <a:prstGeom prst="rect">
          <a:avLst/>
        </a:prstGeom>
      </xdr:spPr>
    </xdr:pic>
    <xdr:clientData/>
  </xdr:twoCellAnchor>
  <xdr:oneCellAnchor>
    <xdr:from>
      <xdr:col>8</xdr:col>
      <xdr:colOff>321882</xdr:colOff>
      <xdr:row>0</xdr:row>
      <xdr:rowOff>0</xdr:rowOff>
    </xdr:from>
    <xdr:ext cx="1181221" cy="311496"/>
    <xdr:sp macro="" textlink="">
      <xdr:nvSpPr>
        <xdr:cNvPr id="12" name="ZoneTexte 11"/>
        <xdr:cNvSpPr txBox="1"/>
      </xdr:nvSpPr>
      <xdr:spPr>
        <a:xfrm>
          <a:off x="8541957" y="0"/>
          <a:ext cx="118122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tx2"/>
              </a:solidFill>
              <a:latin typeface="+mn-lt"/>
            </a:rPr>
            <a:t>ÎLE-DE-FRANCE</a:t>
          </a:r>
          <a:r>
            <a:rPr lang="fr-FR" sz="1400" b="1">
              <a:solidFill>
                <a:schemeClr val="tx2"/>
              </a:solidFill>
              <a:latin typeface="+mn-lt"/>
            </a:rPr>
            <a:t> </a:t>
          </a:r>
        </a:p>
      </xdr:txBody>
    </xdr:sp>
    <xdr:clientData/>
  </xdr:oneCellAnchor>
  <xdr:twoCellAnchor>
    <xdr:from>
      <xdr:col>1</xdr:col>
      <xdr:colOff>190201</xdr:colOff>
      <xdr:row>4</xdr:row>
      <xdr:rowOff>122961</xdr:rowOff>
    </xdr:from>
    <xdr:to>
      <xdr:col>9</xdr:col>
      <xdr:colOff>102176</xdr:colOff>
      <xdr:row>7</xdr:row>
      <xdr:rowOff>87856</xdr:rowOff>
    </xdr:to>
    <xdr:sp macro="" textlink="">
      <xdr:nvSpPr>
        <xdr:cNvPr id="14" name="Rectangle 13"/>
        <xdr:cNvSpPr/>
      </xdr:nvSpPr>
      <xdr:spPr>
        <a:xfrm>
          <a:off x="1733251" y="808761"/>
          <a:ext cx="7493875" cy="450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400" b="1">
              <a:solidFill>
                <a:srgbClr val="E8423B"/>
              </a:solidFill>
              <a:latin typeface="+mn-lt"/>
            </a:rPr>
            <a:t>ENQUÊTE </a:t>
          </a:r>
          <a:r>
            <a:rPr lang="fr-FR" sz="2400" b="1" baseline="0">
              <a:solidFill>
                <a:srgbClr val="E8423B"/>
              </a:solidFill>
              <a:latin typeface="+mn-lt"/>
            </a:rPr>
            <a:t>BESOINS EN MAIN </a:t>
          </a:r>
          <a:r>
            <a:rPr lang="fr-FR" sz="2400" b="1">
              <a:solidFill>
                <a:srgbClr val="E8423B"/>
              </a:solidFill>
              <a:latin typeface="+mn-lt"/>
            </a:rPr>
            <a:t>D'ŒUVRE </a:t>
          </a:r>
          <a:r>
            <a:rPr lang="fr-FR" sz="2400" b="1">
              <a:solidFill>
                <a:schemeClr val="tx2"/>
              </a:solidFill>
              <a:latin typeface="+mn-lt"/>
            </a:rPr>
            <a:t>20</a:t>
          </a:r>
          <a:r>
            <a:rPr lang="fr-FR" sz="2400" b="1">
              <a:solidFill>
                <a:srgbClr val="FF4B4B"/>
              </a:solidFill>
              <a:latin typeface="+mn-lt"/>
            </a:rPr>
            <a:t>18</a:t>
          </a:r>
        </a:p>
      </xdr:txBody>
    </xdr:sp>
    <xdr:clientData/>
  </xdr:twoCellAnchor>
  <xdr:twoCellAnchor>
    <xdr:from>
      <xdr:col>1</xdr:col>
      <xdr:colOff>184992</xdr:colOff>
      <xdr:row>8</xdr:row>
      <xdr:rowOff>114407</xdr:rowOff>
    </xdr:from>
    <xdr:to>
      <xdr:col>4</xdr:col>
      <xdr:colOff>437522</xdr:colOff>
      <xdr:row>11</xdr:row>
      <xdr:rowOff>17543</xdr:rowOff>
    </xdr:to>
    <xdr:sp macro="" textlink="$B$94">
      <xdr:nvSpPr>
        <xdr:cNvPr id="15" name="ZoneTexte 14"/>
        <xdr:cNvSpPr txBox="1"/>
      </xdr:nvSpPr>
      <xdr:spPr>
        <a:xfrm>
          <a:off x="1728042" y="1447907"/>
          <a:ext cx="3433880" cy="388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B79727A-3CEE-4DC6-ABEF-18473A54C30A}" type="TxLink">
            <a:rPr lang="en-US" sz="2000" b="1" i="0" u="none" strike="noStrike">
              <a:solidFill>
                <a:srgbClr val="441051"/>
              </a:solidFill>
              <a:latin typeface="+mn-lt"/>
              <a:cs typeface="Arial"/>
            </a:rPr>
            <a:pPr/>
            <a:t>RÉSULTATS DE L'ENQUÊTE</a:t>
          </a:fld>
          <a:endParaRPr lang="fr-FR" sz="2800" b="1">
            <a:solidFill>
              <a:srgbClr val="441051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7</xdr:row>
      <xdr:rowOff>19050</xdr:rowOff>
    </xdr:from>
    <xdr:to>
      <xdr:col>0</xdr:col>
      <xdr:colOff>1314450</xdr:colOff>
      <xdr:row>11</xdr:row>
      <xdr:rowOff>28575</xdr:rowOff>
    </xdr:to>
    <xdr:pic>
      <xdr:nvPicPr>
        <xdr:cNvPr id="1707164" name="Imag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1314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227253</xdr:colOff>
      <xdr:row>79</xdr:row>
      <xdr:rowOff>39599</xdr:rowOff>
    </xdr:from>
    <xdr:to>
      <xdr:col>7</xdr:col>
      <xdr:colOff>463924</xdr:colOff>
      <xdr:row>84</xdr:row>
      <xdr:rowOff>150004</xdr:rowOff>
    </xdr:to>
    <xdr:sp macro="" textlink="">
      <xdr:nvSpPr>
        <xdr:cNvPr id="28" name="ZoneTexte 27"/>
        <xdr:cNvSpPr txBox="1"/>
      </xdr:nvSpPr>
      <xdr:spPr>
        <a:xfrm>
          <a:off x="227253" y="14708099"/>
          <a:ext cx="7767024" cy="8948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9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L’enquête porte sur l'ensemble des employeurs hors administrations de l’État (Ministères, Police, Justice…) et entreprises publiques (Banque de France…). Cette définition correspond au total à environ 441 000 établissements pour la région Ile-de-France (extraits du répertoire SIRENE). Sur les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323 000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établissements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interrogés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, plus de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72 000 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ont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répondu.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Ces résultats ont été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redressés pour être représentatifs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 l'ensemble des employeurs de la région.</a:t>
          </a:r>
          <a:endParaRPr lang="fr-FR" sz="1000">
            <a:solidFill>
              <a:schemeClr val="bg1"/>
            </a:solidFill>
            <a:effectLst/>
            <a:latin typeface="+mn-lt"/>
          </a:endParaRPr>
        </a:p>
        <a:p>
          <a:endParaRPr lang="fr-FR" sz="900">
            <a:latin typeface="+mn-lt"/>
          </a:endParaRPr>
        </a:p>
      </xdr:txBody>
    </xdr:sp>
    <xdr:clientData/>
  </xdr:twoCellAnchor>
  <xdr:twoCellAnchor>
    <xdr:from>
      <xdr:col>0</xdr:col>
      <xdr:colOff>94804</xdr:colOff>
      <xdr:row>77</xdr:row>
      <xdr:rowOff>18419</xdr:rowOff>
    </xdr:from>
    <xdr:to>
      <xdr:col>1</xdr:col>
      <xdr:colOff>746628</xdr:colOff>
      <xdr:row>78</xdr:row>
      <xdr:rowOff>149350</xdr:rowOff>
    </xdr:to>
    <xdr:sp macro="" textlink="">
      <xdr:nvSpPr>
        <xdr:cNvPr id="29" name="ZoneTexte 28"/>
        <xdr:cNvSpPr txBox="1"/>
      </xdr:nvSpPr>
      <xdr:spPr>
        <a:xfrm>
          <a:off x="94804" y="14373154"/>
          <a:ext cx="2198236" cy="287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chemeClr val="bg1"/>
              </a:solidFill>
              <a:latin typeface="Bliss 2 Bold" pitchFamily="50" charset="0"/>
            </a:rPr>
            <a:t>Méthodologie</a:t>
          </a:r>
        </a:p>
      </xdr:txBody>
    </xdr:sp>
    <xdr:clientData/>
  </xdr:twoCellAnchor>
  <xdr:twoCellAnchor editAs="oneCell">
    <xdr:from>
      <xdr:col>0</xdr:col>
      <xdr:colOff>203947</xdr:colOff>
      <xdr:row>78</xdr:row>
      <xdr:rowOff>137184</xdr:rowOff>
    </xdr:from>
    <xdr:to>
      <xdr:col>0</xdr:col>
      <xdr:colOff>499222</xdr:colOff>
      <xdr:row>80</xdr:row>
      <xdr:rowOff>94602</xdr:rowOff>
    </xdr:to>
    <xdr:pic>
      <xdr:nvPicPr>
        <xdr:cNvPr id="1707168" name="Image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" y="14648802"/>
          <a:ext cx="295275" cy="27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123975</xdr:colOff>
      <xdr:row>83</xdr:row>
      <xdr:rowOff>44228</xdr:rowOff>
    </xdr:from>
    <xdr:to>
      <xdr:col>9</xdr:col>
      <xdr:colOff>744576</xdr:colOff>
      <xdr:row>84</xdr:row>
      <xdr:rowOff>91816</xdr:rowOff>
    </xdr:to>
    <xdr:sp macro="" textlink="">
      <xdr:nvSpPr>
        <xdr:cNvPr id="34" name="ZoneTexte 33">
          <a:hlinkClick xmlns:r="http://schemas.openxmlformats.org/officeDocument/2006/relationships" r:id="rId6"/>
        </xdr:cNvPr>
        <xdr:cNvSpPr txBox="1"/>
      </xdr:nvSpPr>
      <xdr:spPr>
        <a:xfrm>
          <a:off x="6757857" y="15340257"/>
          <a:ext cx="3310013" cy="204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900" i="0" u="none">
              <a:solidFill>
                <a:schemeClr val="bg1"/>
              </a:solidFill>
              <a:latin typeface="+mn-lt"/>
            </a:rPr>
            <a:t>http://statistiques.pole-emploi.org/bmo/static/bmoenquete2018</a:t>
          </a:r>
        </a:p>
      </xdr:txBody>
    </xdr:sp>
    <xdr:clientData/>
  </xdr:twoCellAnchor>
  <xdr:twoCellAnchor>
    <xdr:from>
      <xdr:col>3</xdr:col>
      <xdr:colOff>560853</xdr:colOff>
      <xdr:row>60</xdr:row>
      <xdr:rowOff>99732</xdr:rowOff>
    </xdr:from>
    <xdr:to>
      <xdr:col>9</xdr:col>
      <xdr:colOff>53227</xdr:colOff>
      <xdr:row>75</xdr:row>
      <xdr:rowOff>42582</xdr:rowOff>
    </xdr:to>
    <xdr:graphicFrame macro="">
      <xdr:nvGraphicFramePr>
        <xdr:cNvPr id="1707171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552866</xdr:colOff>
      <xdr:row>61</xdr:row>
      <xdr:rowOff>5385</xdr:rowOff>
    </xdr:from>
    <xdr:to>
      <xdr:col>8</xdr:col>
      <xdr:colOff>867603</xdr:colOff>
      <xdr:row>71</xdr:row>
      <xdr:rowOff>30647</xdr:rowOff>
    </xdr:to>
    <xdr:sp macro="" textlink="">
      <xdr:nvSpPr>
        <xdr:cNvPr id="45" name="Légende à une bordure 2 44"/>
        <xdr:cNvSpPr/>
      </xdr:nvSpPr>
      <xdr:spPr>
        <a:xfrm>
          <a:off x="4172366" y="10791626"/>
          <a:ext cx="4913013" cy="2462349"/>
        </a:xfrm>
        <a:prstGeom prst="accentCallout2">
          <a:avLst>
            <a:gd name="adj1" fmla="val 71733"/>
            <a:gd name="adj2" fmla="val -4544"/>
            <a:gd name="adj3" fmla="val 71821"/>
            <a:gd name="adj4" fmla="val -7369"/>
            <a:gd name="adj5" fmla="val 71911"/>
            <a:gd name="adj6" fmla="val -9627"/>
          </a:avLst>
        </a:pr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11</xdr:row>
          <xdr:rowOff>19050</xdr:rowOff>
        </xdr:from>
        <xdr:to>
          <xdr:col>3</xdr:col>
          <xdr:colOff>942975</xdr:colOff>
          <xdr:row>12</xdr:row>
          <xdr:rowOff>95250</xdr:rowOff>
        </xdr:to>
        <xdr:sp macro="" textlink="">
          <xdr:nvSpPr>
            <xdr:cNvPr id="1707261" name="Drop Down 2301" hidden="1">
              <a:extLst>
                <a:ext uri="{63B3BB69-23CF-44E3-9099-C40C66FF867C}">
                  <a14:compatExt spid="_x0000_s1707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487728</xdr:colOff>
      <xdr:row>83</xdr:row>
      <xdr:rowOff>28208</xdr:rowOff>
    </xdr:from>
    <xdr:to>
      <xdr:col>6</xdr:col>
      <xdr:colOff>167468</xdr:colOff>
      <xdr:row>84</xdr:row>
      <xdr:rowOff>129041</xdr:rowOff>
    </xdr:to>
    <xdr:pic>
      <xdr:nvPicPr>
        <xdr:cNvPr id="4" name="Image 3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332"/>
        <a:stretch/>
      </xdr:blipFill>
      <xdr:spPr>
        <a:xfrm>
          <a:off x="6239363" y="15444054"/>
          <a:ext cx="558970" cy="262025"/>
        </a:xfrm>
        <a:prstGeom prst="rect">
          <a:avLst/>
        </a:prstGeom>
      </xdr:spPr>
    </xdr:pic>
    <xdr:clientData/>
  </xdr:twoCellAnchor>
  <xdr:twoCellAnchor editAs="absolute">
    <xdr:from>
      <xdr:col>0</xdr:col>
      <xdr:colOff>66675</xdr:colOff>
      <xdr:row>1</xdr:row>
      <xdr:rowOff>142875</xdr:rowOff>
    </xdr:from>
    <xdr:to>
      <xdr:col>2</xdr:col>
      <xdr:colOff>382473</xdr:colOff>
      <xdr:row>2</xdr:row>
      <xdr:rowOff>172513</xdr:rowOff>
    </xdr:to>
    <xdr:sp macro="" textlink="">
      <xdr:nvSpPr>
        <xdr:cNvPr id="30" name="ZoneTexte 29"/>
        <xdr:cNvSpPr txBox="1"/>
      </xdr:nvSpPr>
      <xdr:spPr>
        <a:xfrm>
          <a:off x="66675" y="304800"/>
          <a:ext cx="2897073" cy="191563"/>
        </a:xfrm>
        <a:prstGeom prst="rect">
          <a:avLst/>
        </a:prstGeom>
        <a:solidFill>
          <a:srgbClr val="663D7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/>
        <a:lstStyle/>
        <a:p>
          <a:r>
            <a:rPr lang="fr-FR" sz="1200" b="1" cap="all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études et évaluations</a:t>
          </a:r>
        </a:p>
      </xdr:txBody>
    </xdr:sp>
    <xdr:clientData/>
  </xdr:twoCellAnchor>
  <xdr:twoCellAnchor editAs="absolute">
    <xdr:from>
      <xdr:col>0</xdr:col>
      <xdr:colOff>57150</xdr:colOff>
      <xdr:row>0</xdr:row>
      <xdr:rowOff>85725</xdr:rowOff>
    </xdr:from>
    <xdr:to>
      <xdr:col>0</xdr:col>
      <xdr:colOff>1381125</xdr:colOff>
      <xdr:row>1</xdr:row>
      <xdr:rowOff>104775</xdr:rowOff>
    </xdr:to>
    <xdr:sp macro="" textlink="">
      <xdr:nvSpPr>
        <xdr:cNvPr id="31" name="ZoneTexte 30"/>
        <xdr:cNvSpPr txBox="1"/>
      </xdr:nvSpPr>
      <xdr:spPr>
        <a:xfrm>
          <a:off x="57150" y="85725"/>
          <a:ext cx="1323975" cy="180975"/>
        </a:xfrm>
        <a:prstGeom prst="rect">
          <a:avLst/>
        </a:prstGeom>
        <a:solidFill>
          <a:srgbClr val="663D7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/>
        <a:lstStyle/>
        <a:p>
          <a:r>
            <a:rPr lang="fr-FR" sz="1200" b="1" cap="all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Statistiques,</a:t>
          </a:r>
        </a:p>
      </xdr:txBody>
    </xdr:sp>
    <xdr:clientData/>
  </xdr:twoCellAnchor>
  <xdr:twoCellAnchor>
    <xdr:from>
      <xdr:col>1</xdr:col>
      <xdr:colOff>975143</xdr:colOff>
      <xdr:row>45</xdr:row>
      <xdr:rowOff>24095</xdr:rowOff>
    </xdr:from>
    <xdr:to>
      <xdr:col>6</xdr:col>
      <xdr:colOff>840443</xdr:colOff>
      <xdr:row>59</xdr:row>
      <xdr:rowOff>123265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539813</xdr:colOff>
      <xdr:row>12</xdr:row>
      <xdr:rowOff>100079</xdr:rowOff>
    </xdr:from>
    <xdr:to>
      <xdr:col>9</xdr:col>
      <xdr:colOff>34004</xdr:colOff>
      <xdr:row>18</xdr:row>
      <xdr:rowOff>61439</xdr:rowOff>
    </xdr:to>
    <xdr:sp macro="" textlink="">
      <xdr:nvSpPr>
        <xdr:cNvPr id="13" name="Rectangle 12"/>
        <xdr:cNvSpPr/>
      </xdr:nvSpPr>
      <xdr:spPr>
        <a:xfrm>
          <a:off x="8070166" y="2027491"/>
          <a:ext cx="1287132" cy="90265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713312</xdr:colOff>
      <xdr:row>12</xdr:row>
      <xdr:rowOff>115538</xdr:rowOff>
    </xdr:from>
    <xdr:to>
      <xdr:col>8</xdr:col>
      <xdr:colOff>783495</xdr:colOff>
      <xdr:row>17</xdr:row>
      <xdr:rowOff>86832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3665" y="2042950"/>
          <a:ext cx="955448" cy="755706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35</xdr:row>
      <xdr:rowOff>56031</xdr:rowOff>
    </xdr:from>
    <xdr:to>
      <xdr:col>0</xdr:col>
      <xdr:colOff>1512794</xdr:colOff>
      <xdr:row>44</xdr:row>
      <xdr:rowOff>100854</xdr:rowOff>
    </xdr:to>
    <xdr:sp macro="" textlink="$M$34">
      <xdr:nvSpPr>
        <xdr:cNvPr id="6" name="Rectangle à coins arrondis 5"/>
        <xdr:cNvSpPr/>
      </xdr:nvSpPr>
      <xdr:spPr>
        <a:xfrm>
          <a:off x="56029" y="6544237"/>
          <a:ext cx="1456765" cy="1759323"/>
        </a:xfrm>
        <a:prstGeom prst="roundRect">
          <a:avLst/>
        </a:prstGeom>
        <a:solidFill>
          <a:srgbClr val="E8423B"/>
        </a:solidFill>
        <a:ln>
          <a:solidFill>
            <a:srgbClr val="E8423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572A256-9714-4F81-95DB-24101631906C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Le top 10 représente 34,8% des projets de recrutements</a:t>
          </a:fld>
          <a:endParaRPr lang="fr-FR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0</xdr:row>
      <xdr:rowOff>66675</xdr:rowOff>
    </xdr:from>
    <xdr:to>
      <xdr:col>2</xdr:col>
      <xdr:colOff>3571875</xdr:colOff>
      <xdr:row>0</xdr:row>
      <xdr:rowOff>2914650</xdr:rowOff>
    </xdr:to>
    <xdr:pic>
      <xdr:nvPicPr>
        <xdr:cNvPr id="1674135" name="Image 41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66675"/>
          <a:ext cx="30765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1819275</xdr:colOff>
      <xdr:row>4</xdr:row>
      <xdr:rowOff>0</xdr:rowOff>
    </xdr:from>
    <xdr:to>
      <xdr:col>3</xdr:col>
      <xdr:colOff>314325</xdr:colOff>
      <xdr:row>4</xdr:row>
      <xdr:rowOff>495300</xdr:rowOff>
    </xdr:to>
    <xdr:sp macro="" textlink="">
      <xdr:nvSpPr>
        <xdr:cNvPr id="4917" name="Rectangle 1704"/>
        <xdr:cNvSpPr>
          <a:spLocks noChangeAspect="1" noChangeArrowheads="1"/>
        </xdr:cNvSpPr>
      </xdr:nvSpPr>
      <xdr:spPr bwMode="auto">
        <a:xfrm>
          <a:off x="4286250" y="63712725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twoCellAnchor>
  <xdr:oneCellAnchor>
    <xdr:from>
      <xdr:col>2</xdr:col>
      <xdr:colOff>1819275</xdr:colOff>
      <xdr:row>5</xdr:row>
      <xdr:rowOff>0</xdr:rowOff>
    </xdr:from>
    <xdr:ext cx="2314575" cy="495300"/>
    <xdr:sp macro="" textlink="">
      <xdr:nvSpPr>
        <xdr:cNvPr id="311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5</xdr:row>
      <xdr:rowOff>0</xdr:rowOff>
    </xdr:from>
    <xdr:ext cx="2314575" cy="495300"/>
    <xdr:sp macro="" textlink="">
      <xdr:nvSpPr>
        <xdr:cNvPr id="312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6</xdr:row>
      <xdr:rowOff>0</xdr:rowOff>
    </xdr:from>
    <xdr:ext cx="2314575" cy="495300"/>
    <xdr:sp macro="" textlink="">
      <xdr:nvSpPr>
        <xdr:cNvPr id="313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7</xdr:row>
      <xdr:rowOff>0</xdr:rowOff>
    </xdr:from>
    <xdr:ext cx="2314575" cy="495300"/>
    <xdr:sp macro="" textlink="">
      <xdr:nvSpPr>
        <xdr:cNvPr id="314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8</xdr:row>
      <xdr:rowOff>0</xdr:rowOff>
    </xdr:from>
    <xdr:ext cx="2314575" cy="495300"/>
    <xdr:sp macro="" textlink="">
      <xdr:nvSpPr>
        <xdr:cNvPr id="315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9</xdr:row>
      <xdr:rowOff>0</xdr:rowOff>
    </xdr:from>
    <xdr:ext cx="2314575" cy="495300"/>
    <xdr:sp macro="" textlink="">
      <xdr:nvSpPr>
        <xdr:cNvPr id="316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11</xdr:row>
      <xdr:rowOff>0</xdr:rowOff>
    </xdr:from>
    <xdr:ext cx="2314575" cy="495300"/>
    <xdr:sp macro="" textlink="">
      <xdr:nvSpPr>
        <xdr:cNvPr id="318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13</xdr:row>
      <xdr:rowOff>0</xdr:rowOff>
    </xdr:from>
    <xdr:ext cx="2314575" cy="495300"/>
    <xdr:sp macro="" textlink="">
      <xdr:nvSpPr>
        <xdr:cNvPr id="319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14</xdr:row>
      <xdr:rowOff>0</xdr:rowOff>
    </xdr:from>
    <xdr:ext cx="2314575" cy="495300"/>
    <xdr:sp macro="" textlink="">
      <xdr:nvSpPr>
        <xdr:cNvPr id="320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15</xdr:row>
      <xdr:rowOff>0</xdr:rowOff>
    </xdr:from>
    <xdr:ext cx="2314575" cy="495300"/>
    <xdr:sp macro="" textlink="">
      <xdr:nvSpPr>
        <xdr:cNvPr id="32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16</xdr:row>
      <xdr:rowOff>0</xdr:rowOff>
    </xdr:from>
    <xdr:ext cx="2314575" cy="495300"/>
    <xdr:sp macro="" textlink="">
      <xdr:nvSpPr>
        <xdr:cNvPr id="32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17</xdr:row>
      <xdr:rowOff>0</xdr:rowOff>
    </xdr:from>
    <xdr:ext cx="2314575" cy="495300"/>
    <xdr:sp macro="" textlink="">
      <xdr:nvSpPr>
        <xdr:cNvPr id="325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18</xdr:row>
      <xdr:rowOff>0</xdr:rowOff>
    </xdr:from>
    <xdr:ext cx="2314575" cy="495300"/>
    <xdr:sp macro="" textlink="">
      <xdr:nvSpPr>
        <xdr:cNvPr id="326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19</xdr:row>
      <xdr:rowOff>0</xdr:rowOff>
    </xdr:from>
    <xdr:ext cx="2314575" cy="495300"/>
    <xdr:sp macro="" textlink="">
      <xdr:nvSpPr>
        <xdr:cNvPr id="327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20</xdr:row>
      <xdr:rowOff>0</xdr:rowOff>
    </xdr:from>
    <xdr:ext cx="2314575" cy="495300"/>
    <xdr:sp macro="" textlink="">
      <xdr:nvSpPr>
        <xdr:cNvPr id="328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21</xdr:row>
      <xdr:rowOff>0</xdr:rowOff>
    </xdr:from>
    <xdr:ext cx="2314575" cy="495300"/>
    <xdr:sp macro="" textlink="">
      <xdr:nvSpPr>
        <xdr:cNvPr id="329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22</xdr:row>
      <xdr:rowOff>0</xdr:rowOff>
    </xdr:from>
    <xdr:ext cx="2314575" cy="495300"/>
    <xdr:sp macro="" textlink="">
      <xdr:nvSpPr>
        <xdr:cNvPr id="330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23</xdr:row>
      <xdr:rowOff>0</xdr:rowOff>
    </xdr:from>
    <xdr:ext cx="2314575" cy="495300"/>
    <xdr:sp macro="" textlink="">
      <xdr:nvSpPr>
        <xdr:cNvPr id="331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24</xdr:row>
      <xdr:rowOff>0</xdr:rowOff>
    </xdr:from>
    <xdr:ext cx="2314575" cy="495300"/>
    <xdr:sp macro="" textlink="">
      <xdr:nvSpPr>
        <xdr:cNvPr id="332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25</xdr:row>
      <xdr:rowOff>0</xdr:rowOff>
    </xdr:from>
    <xdr:ext cx="2314575" cy="495300"/>
    <xdr:sp macro="" textlink="">
      <xdr:nvSpPr>
        <xdr:cNvPr id="33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26</xdr:row>
      <xdr:rowOff>0</xdr:rowOff>
    </xdr:from>
    <xdr:ext cx="2314575" cy="495300"/>
    <xdr:sp macro="" textlink="">
      <xdr:nvSpPr>
        <xdr:cNvPr id="33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27</xdr:row>
      <xdr:rowOff>0</xdr:rowOff>
    </xdr:from>
    <xdr:ext cx="2314575" cy="495300"/>
    <xdr:sp macro="" textlink="">
      <xdr:nvSpPr>
        <xdr:cNvPr id="335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28</xdr:row>
      <xdr:rowOff>0</xdr:rowOff>
    </xdr:from>
    <xdr:ext cx="2314575" cy="495300"/>
    <xdr:sp macro="" textlink="">
      <xdr:nvSpPr>
        <xdr:cNvPr id="336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29</xdr:row>
      <xdr:rowOff>0</xdr:rowOff>
    </xdr:from>
    <xdr:ext cx="2314575" cy="495300"/>
    <xdr:sp macro="" textlink="">
      <xdr:nvSpPr>
        <xdr:cNvPr id="337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30</xdr:row>
      <xdr:rowOff>0</xdr:rowOff>
    </xdr:from>
    <xdr:ext cx="2314575" cy="495300"/>
    <xdr:sp macro="" textlink="">
      <xdr:nvSpPr>
        <xdr:cNvPr id="338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31</xdr:row>
      <xdr:rowOff>0</xdr:rowOff>
    </xdr:from>
    <xdr:ext cx="2314575" cy="495300"/>
    <xdr:sp macro="" textlink="">
      <xdr:nvSpPr>
        <xdr:cNvPr id="339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32</xdr:row>
      <xdr:rowOff>0</xdr:rowOff>
    </xdr:from>
    <xdr:ext cx="2314575" cy="495300"/>
    <xdr:sp macro="" textlink="">
      <xdr:nvSpPr>
        <xdr:cNvPr id="340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33</xdr:row>
      <xdr:rowOff>0</xdr:rowOff>
    </xdr:from>
    <xdr:ext cx="2314575" cy="495300"/>
    <xdr:sp macro="" textlink="">
      <xdr:nvSpPr>
        <xdr:cNvPr id="341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34</xdr:row>
      <xdr:rowOff>0</xdr:rowOff>
    </xdr:from>
    <xdr:ext cx="2314575" cy="495300"/>
    <xdr:sp macro="" textlink="">
      <xdr:nvSpPr>
        <xdr:cNvPr id="342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35</xdr:row>
      <xdr:rowOff>0</xdr:rowOff>
    </xdr:from>
    <xdr:ext cx="2314575" cy="495300"/>
    <xdr:sp macro="" textlink="">
      <xdr:nvSpPr>
        <xdr:cNvPr id="34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36</xdr:row>
      <xdr:rowOff>0</xdr:rowOff>
    </xdr:from>
    <xdr:ext cx="2314575" cy="495300"/>
    <xdr:sp macro="" textlink="">
      <xdr:nvSpPr>
        <xdr:cNvPr id="34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twoCellAnchor editAs="oneCell">
    <xdr:from>
      <xdr:col>2</xdr:col>
      <xdr:colOff>142875</xdr:colOff>
      <xdr:row>13</xdr:row>
      <xdr:rowOff>66675</xdr:rowOff>
    </xdr:from>
    <xdr:to>
      <xdr:col>2</xdr:col>
      <xdr:colOff>3695700</xdr:colOff>
      <xdr:row>13</xdr:row>
      <xdr:rowOff>2895600</xdr:rowOff>
    </xdr:to>
    <xdr:pic>
      <xdr:nvPicPr>
        <xdr:cNvPr id="1674169" name="Image 1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0165675"/>
          <a:ext cx="3552825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14</xdr:row>
      <xdr:rowOff>66675</xdr:rowOff>
    </xdr:from>
    <xdr:to>
      <xdr:col>2</xdr:col>
      <xdr:colOff>3686175</xdr:colOff>
      <xdr:row>14</xdr:row>
      <xdr:rowOff>2914650</xdr:rowOff>
    </xdr:to>
    <xdr:pic>
      <xdr:nvPicPr>
        <xdr:cNvPr id="1674170" name="Image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31755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15</xdr:row>
      <xdr:rowOff>66675</xdr:rowOff>
    </xdr:from>
    <xdr:to>
      <xdr:col>2</xdr:col>
      <xdr:colOff>3714750</xdr:colOff>
      <xdr:row>15</xdr:row>
      <xdr:rowOff>2914650</xdr:rowOff>
    </xdr:to>
    <xdr:pic>
      <xdr:nvPicPr>
        <xdr:cNvPr id="1674171" name="Image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6185475"/>
          <a:ext cx="35433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16</xdr:row>
      <xdr:rowOff>66675</xdr:rowOff>
    </xdr:from>
    <xdr:to>
      <xdr:col>2</xdr:col>
      <xdr:colOff>3695700</xdr:colOff>
      <xdr:row>16</xdr:row>
      <xdr:rowOff>2914650</xdr:rowOff>
    </xdr:to>
    <xdr:pic>
      <xdr:nvPicPr>
        <xdr:cNvPr id="1674172" name="Image 2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91953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17</xdr:row>
      <xdr:rowOff>85725</xdr:rowOff>
    </xdr:from>
    <xdr:to>
      <xdr:col>2</xdr:col>
      <xdr:colOff>3705225</xdr:colOff>
      <xdr:row>17</xdr:row>
      <xdr:rowOff>2933700</xdr:rowOff>
    </xdr:to>
    <xdr:pic>
      <xdr:nvPicPr>
        <xdr:cNvPr id="1674173" name="Image 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22243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18</xdr:row>
      <xdr:rowOff>85725</xdr:rowOff>
    </xdr:from>
    <xdr:to>
      <xdr:col>2</xdr:col>
      <xdr:colOff>3695700</xdr:colOff>
      <xdr:row>18</xdr:row>
      <xdr:rowOff>2933700</xdr:rowOff>
    </xdr:to>
    <xdr:pic>
      <xdr:nvPicPr>
        <xdr:cNvPr id="1674174" name="Image 2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52342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19</xdr:row>
      <xdr:rowOff>85725</xdr:rowOff>
    </xdr:from>
    <xdr:to>
      <xdr:col>2</xdr:col>
      <xdr:colOff>3695700</xdr:colOff>
      <xdr:row>19</xdr:row>
      <xdr:rowOff>2933700</xdr:rowOff>
    </xdr:to>
    <xdr:pic>
      <xdr:nvPicPr>
        <xdr:cNvPr id="1674175" name="Image 2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82441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20</xdr:row>
      <xdr:rowOff>66675</xdr:rowOff>
    </xdr:from>
    <xdr:to>
      <xdr:col>2</xdr:col>
      <xdr:colOff>3686175</xdr:colOff>
      <xdr:row>20</xdr:row>
      <xdr:rowOff>2914650</xdr:rowOff>
    </xdr:to>
    <xdr:pic>
      <xdr:nvPicPr>
        <xdr:cNvPr id="1674176" name="Image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12349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21</xdr:row>
      <xdr:rowOff>85725</xdr:rowOff>
    </xdr:from>
    <xdr:to>
      <xdr:col>2</xdr:col>
      <xdr:colOff>3752850</xdr:colOff>
      <xdr:row>21</xdr:row>
      <xdr:rowOff>2933700</xdr:rowOff>
    </xdr:to>
    <xdr:pic>
      <xdr:nvPicPr>
        <xdr:cNvPr id="1674177" name="Image 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42639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22</xdr:row>
      <xdr:rowOff>85725</xdr:rowOff>
    </xdr:from>
    <xdr:to>
      <xdr:col>2</xdr:col>
      <xdr:colOff>3714750</xdr:colOff>
      <xdr:row>22</xdr:row>
      <xdr:rowOff>2933700</xdr:rowOff>
    </xdr:to>
    <xdr:pic>
      <xdr:nvPicPr>
        <xdr:cNvPr id="1674178" name="Image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7273825"/>
          <a:ext cx="35433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23</xdr:row>
      <xdr:rowOff>66675</xdr:rowOff>
    </xdr:from>
    <xdr:to>
      <xdr:col>2</xdr:col>
      <xdr:colOff>3695700</xdr:colOff>
      <xdr:row>23</xdr:row>
      <xdr:rowOff>2914650</xdr:rowOff>
    </xdr:to>
    <xdr:pic>
      <xdr:nvPicPr>
        <xdr:cNvPr id="1674179" name="Image 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02646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24</xdr:row>
      <xdr:rowOff>85725</xdr:rowOff>
    </xdr:from>
    <xdr:to>
      <xdr:col>2</xdr:col>
      <xdr:colOff>3686175</xdr:colOff>
      <xdr:row>24</xdr:row>
      <xdr:rowOff>2933700</xdr:rowOff>
    </xdr:to>
    <xdr:pic>
      <xdr:nvPicPr>
        <xdr:cNvPr id="1674180" name="Image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632936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25</xdr:row>
      <xdr:rowOff>104775</xdr:rowOff>
    </xdr:from>
    <xdr:to>
      <xdr:col>2</xdr:col>
      <xdr:colOff>3714750</xdr:colOff>
      <xdr:row>25</xdr:row>
      <xdr:rowOff>2933700</xdr:rowOff>
    </xdr:to>
    <xdr:pic>
      <xdr:nvPicPr>
        <xdr:cNvPr id="1674181" name="Image 41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6322575"/>
          <a:ext cx="354330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26</xdr:row>
      <xdr:rowOff>66675</xdr:rowOff>
    </xdr:from>
    <xdr:to>
      <xdr:col>2</xdr:col>
      <xdr:colOff>3705225</xdr:colOff>
      <xdr:row>26</xdr:row>
      <xdr:rowOff>2914650</xdr:rowOff>
    </xdr:to>
    <xdr:pic>
      <xdr:nvPicPr>
        <xdr:cNvPr id="1674182" name="Image 41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692943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27</xdr:row>
      <xdr:rowOff>66675</xdr:rowOff>
    </xdr:from>
    <xdr:to>
      <xdr:col>2</xdr:col>
      <xdr:colOff>3705225</xdr:colOff>
      <xdr:row>27</xdr:row>
      <xdr:rowOff>2914650</xdr:rowOff>
    </xdr:to>
    <xdr:pic>
      <xdr:nvPicPr>
        <xdr:cNvPr id="1674183" name="Image 41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723042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28</xdr:row>
      <xdr:rowOff>104775</xdr:rowOff>
    </xdr:from>
    <xdr:to>
      <xdr:col>2</xdr:col>
      <xdr:colOff>3714750</xdr:colOff>
      <xdr:row>28</xdr:row>
      <xdr:rowOff>2933700</xdr:rowOff>
    </xdr:to>
    <xdr:pic>
      <xdr:nvPicPr>
        <xdr:cNvPr id="1674184" name="Image 413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5352275"/>
          <a:ext cx="354330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29</xdr:row>
      <xdr:rowOff>66675</xdr:rowOff>
    </xdr:from>
    <xdr:to>
      <xdr:col>2</xdr:col>
      <xdr:colOff>3686175</xdr:colOff>
      <xdr:row>29</xdr:row>
      <xdr:rowOff>2914650</xdr:rowOff>
    </xdr:to>
    <xdr:pic>
      <xdr:nvPicPr>
        <xdr:cNvPr id="1674185" name="Image 413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83240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30</xdr:row>
      <xdr:rowOff>85725</xdr:rowOff>
    </xdr:from>
    <xdr:to>
      <xdr:col>2</xdr:col>
      <xdr:colOff>3676650</xdr:colOff>
      <xdr:row>30</xdr:row>
      <xdr:rowOff>2933700</xdr:rowOff>
    </xdr:to>
    <xdr:pic>
      <xdr:nvPicPr>
        <xdr:cNvPr id="1674186" name="Image 413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13530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31</xdr:row>
      <xdr:rowOff>66675</xdr:rowOff>
    </xdr:from>
    <xdr:to>
      <xdr:col>2</xdr:col>
      <xdr:colOff>3686175</xdr:colOff>
      <xdr:row>31</xdr:row>
      <xdr:rowOff>2914650</xdr:rowOff>
    </xdr:to>
    <xdr:pic>
      <xdr:nvPicPr>
        <xdr:cNvPr id="1674187" name="Image 413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843438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32</xdr:row>
      <xdr:rowOff>85725</xdr:rowOff>
    </xdr:from>
    <xdr:to>
      <xdr:col>2</xdr:col>
      <xdr:colOff>3705225</xdr:colOff>
      <xdr:row>32</xdr:row>
      <xdr:rowOff>2933700</xdr:rowOff>
    </xdr:to>
    <xdr:pic>
      <xdr:nvPicPr>
        <xdr:cNvPr id="1674188" name="Image 413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873728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33</xdr:row>
      <xdr:rowOff>85725</xdr:rowOff>
    </xdr:from>
    <xdr:to>
      <xdr:col>2</xdr:col>
      <xdr:colOff>3676650</xdr:colOff>
      <xdr:row>33</xdr:row>
      <xdr:rowOff>2933700</xdr:rowOff>
    </xdr:to>
    <xdr:pic>
      <xdr:nvPicPr>
        <xdr:cNvPr id="1674189" name="Image 41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903827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34</xdr:row>
      <xdr:rowOff>85725</xdr:rowOff>
    </xdr:from>
    <xdr:to>
      <xdr:col>2</xdr:col>
      <xdr:colOff>3705225</xdr:colOff>
      <xdr:row>34</xdr:row>
      <xdr:rowOff>2933700</xdr:rowOff>
    </xdr:to>
    <xdr:pic>
      <xdr:nvPicPr>
        <xdr:cNvPr id="1674190" name="Image 41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339262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35</xdr:row>
      <xdr:rowOff>66675</xdr:rowOff>
    </xdr:from>
    <xdr:to>
      <xdr:col>2</xdr:col>
      <xdr:colOff>3705225</xdr:colOff>
      <xdr:row>35</xdr:row>
      <xdr:rowOff>2914650</xdr:rowOff>
    </xdr:to>
    <xdr:pic>
      <xdr:nvPicPr>
        <xdr:cNvPr id="1674191" name="Image 41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63834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36</xdr:row>
      <xdr:rowOff>66675</xdr:rowOff>
    </xdr:from>
    <xdr:to>
      <xdr:col>2</xdr:col>
      <xdr:colOff>3705225</xdr:colOff>
      <xdr:row>36</xdr:row>
      <xdr:rowOff>2914650</xdr:rowOff>
    </xdr:to>
    <xdr:pic>
      <xdr:nvPicPr>
        <xdr:cNvPr id="1674192" name="Image 41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9393375"/>
          <a:ext cx="35528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1</xdr:row>
      <xdr:rowOff>66675</xdr:rowOff>
    </xdr:from>
    <xdr:to>
      <xdr:col>2</xdr:col>
      <xdr:colOff>3571875</xdr:colOff>
      <xdr:row>1</xdr:row>
      <xdr:rowOff>2914650</xdr:rowOff>
    </xdr:to>
    <xdr:pic>
      <xdr:nvPicPr>
        <xdr:cNvPr id="1674193" name="Image 41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076575"/>
          <a:ext cx="30765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85725</xdr:rowOff>
    </xdr:from>
    <xdr:to>
      <xdr:col>2</xdr:col>
      <xdr:colOff>3667125</xdr:colOff>
      <xdr:row>4</xdr:row>
      <xdr:rowOff>2933700</xdr:rowOff>
    </xdr:to>
    <xdr:pic>
      <xdr:nvPicPr>
        <xdr:cNvPr id="1674194" name="Image 41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10552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5</xdr:row>
      <xdr:rowOff>85725</xdr:rowOff>
    </xdr:from>
    <xdr:to>
      <xdr:col>2</xdr:col>
      <xdr:colOff>3686175</xdr:colOff>
      <xdr:row>5</xdr:row>
      <xdr:rowOff>2933700</xdr:rowOff>
    </xdr:to>
    <xdr:pic>
      <xdr:nvPicPr>
        <xdr:cNvPr id="1674195" name="Image 414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9115425"/>
          <a:ext cx="34766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</xdr:row>
      <xdr:rowOff>66675</xdr:rowOff>
    </xdr:from>
    <xdr:to>
      <xdr:col>2</xdr:col>
      <xdr:colOff>3667125</xdr:colOff>
      <xdr:row>6</xdr:row>
      <xdr:rowOff>2914650</xdr:rowOff>
    </xdr:to>
    <xdr:pic>
      <xdr:nvPicPr>
        <xdr:cNvPr id="1674196" name="Image 414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1062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7</xdr:row>
      <xdr:rowOff>85725</xdr:rowOff>
    </xdr:from>
    <xdr:to>
      <xdr:col>2</xdr:col>
      <xdr:colOff>3686175</xdr:colOff>
      <xdr:row>7</xdr:row>
      <xdr:rowOff>2933700</xdr:rowOff>
    </xdr:to>
    <xdr:pic>
      <xdr:nvPicPr>
        <xdr:cNvPr id="1674197" name="Image 414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135225"/>
          <a:ext cx="34766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8</xdr:row>
      <xdr:rowOff>66675</xdr:rowOff>
    </xdr:from>
    <xdr:to>
      <xdr:col>2</xdr:col>
      <xdr:colOff>3648075</xdr:colOff>
      <xdr:row>8</xdr:row>
      <xdr:rowOff>2914650</xdr:rowOff>
    </xdr:to>
    <xdr:pic>
      <xdr:nvPicPr>
        <xdr:cNvPr id="1674198" name="Image 414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1260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9</xdr:row>
      <xdr:rowOff>66675</xdr:rowOff>
    </xdr:from>
    <xdr:to>
      <xdr:col>2</xdr:col>
      <xdr:colOff>3657600</xdr:colOff>
      <xdr:row>9</xdr:row>
      <xdr:rowOff>2914650</xdr:rowOff>
    </xdr:to>
    <xdr:pic>
      <xdr:nvPicPr>
        <xdr:cNvPr id="1674199" name="Image 41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11359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10</xdr:row>
      <xdr:rowOff>66675</xdr:rowOff>
    </xdr:from>
    <xdr:to>
      <xdr:col>2</xdr:col>
      <xdr:colOff>3648075</xdr:colOff>
      <xdr:row>10</xdr:row>
      <xdr:rowOff>2914650</xdr:rowOff>
    </xdr:to>
    <xdr:pic>
      <xdr:nvPicPr>
        <xdr:cNvPr id="1674200" name="Image 414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41458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11</xdr:row>
      <xdr:rowOff>85725</xdr:rowOff>
    </xdr:from>
    <xdr:to>
      <xdr:col>2</xdr:col>
      <xdr:colOff>3657600</xdr:colOff>
      <xdr:row>11</xdr:row>
      <xdr:rowOff>2933700</xdr:rowOff>
    </xdr:to>
    <xdr:pic>
      <xdr:nvPicPr>
        <xdr:cNvPr id="1674201" name="Image 415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717482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3081618</xdr:colOff>
      <xdr:row>1</xdr:row>
      <xdr:rowOff>2375647</xdr:rowOff>
    </xdr:from>
    <xdr:to>
      <xdr:col>2</xdr:col>
      <xdr:colOff>3529853</xdr:colOff>
      <xdr:row>1</xdr:row>
      <xdr:rowOff>2902324</xdr:rowOff>
    </xdr:to>
    <xdr:sp macro="" textlink="">
      <xdr:nvSpPr>
        <xdr:cNvPr id="4152" name="Rectangle 4151"/>
        <xdr:cNvSpPr/>
      </xdr:nvSpPr>
      <xdr:spPr>
        <a:xfrm>
          <a:off x="5647765" y="5390029"/>
          <a:ext cx="448235" cy="52667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2</xdr:col>
      <xdr:colOff>3115236</xdr:colOff>
      <xdr:row>0</xdr:row>
      <xdr:rowOff>2375647</xdr:rowOff>
    </xdr:from>
    <xdr:to>
      <xdr:col>2</xdr:col>
      <xdr:colOff>3563471</xdr:colOff>
      <xdr:row>0</xdr:row>
      <xdr:rowOff>2902324</xdr:rowOff>
    </xdr:to>
    <xdr:sp macro="" textlink="">
      <xdr:nvSpPr>
        <xdr:cNvPr id="390" name="Rectangle 389"/>
        <xdr:cNvSpPr/>
      </xdr:nvSpPr>
      <xdr:spPr>
        <a:xfrm>
          <a:off x="5681383" y="2375647"/>
          <a:ext cx="448235" cy="52667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10</xdr:row>
      <xdr:rowOff>47229</xdr:rowOff>
    </xdr:from>
    <xdr:to>
      <xdr:col>1</xdr:col>
      <xdr:colOff>628650</xdr:colOff>
      <xdr:row>10</xdr:row>
      <xdr:rowOff>152400</xdr:rowOff>
    </xdr:to>
    <xdr:sp macro="" textlink="">
      <xdr:nvSpPr>
        <xdr:cNvPr id="3" name="Forme libre 2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11</xdr:row>
      <xdr:rowOff>47229</xdr:rowOff>
    </xdr:from>
    <xdr:to>
      <xdr:col>1</xdr:col>
      <xdr:colOff>628650</xdr:colOff>
      <xdr:row>11</xdr:row>
      <xdr:rowOff>152400</xdr:rowOff>
    </xdr:to>
    <xdr:sp macro="" textlink="">
      <xdr:nvSpPr>
        <xdr:cNvPr id="5" name="Forme libre 4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11</xdr:row>
      <xdr:rowOff>47229</xdr:rowOff>
    </xdr:from>
    <xdr:to>
      <xdr:col>1</xdr:col>
      <xdr:colOff>628650</xdr:colOff>
      <xdr:row>11</xdr:row>
      <xdr:rowOff>152400</xdr:rowOff>
    </xdr:to>
    <xdr:sp macro="" textlink="">
      <xdr:nvSpPr>
        <xdr:cNvPr id="6" name="Forme libre 5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12</xdr:row>
      <xdr:rowOff>47229</xdr:rowOff>
    </xdr:from>
    <xdr:to>
      <xdr:col>1</xdr:col>
      <xdr:colOff>628650</xdr:colOff>
      <xdr:row>12</xdr:row>
      <xdr:rowOff>152400</xdr:rowOff>
    </xdr:to>
    <xdr:sp macro="" textlink="">
      <xdr:nvSpPr>
        <xdr:cNvPr id="7" name="Forme libre 6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13</xdr:row>
      <xdr:rowOff>47229</xdr:rowOff>
    </xdr:from>
    <xdr:to>
      <xdr:col>1</xdr:col>
      <xdr:colOff>628650</xdr:colOff>
      <xdr:row>13</xdr:row>
      <xdr:rowOff>152400</xdr:rowOff>
    </xdr:to>
    <xdr:sp macro="" textlink="">
      <xdr:nvSpPr>
        <xdr:cNvPr id="8" name="Forme libre 7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14</xdr:row>
      <xdr:rowOff>47229</xdr:rowOff>
    </xdr:from>
    <xdr:to>
      <xdr:col>1</xdr:col>
      <xdr:colOff>628650</xdr:colOff>
      <xdr:row>14</xdr:row>
      <xdr:rowOff>152400</xdr:rowOff>
    </xdr:to>
    <xdr:sp macro="" textlink="">
      <xdr:nvSpPr>
        <xdr:cNvPr id="9" name="Forme libre 8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15</xdr:row>
      <xdr:rowOff>47229</xdr:rowOff>
    </xdr:from>
    <xdr:to>
      <xdr:col>1</xdr:col>
      <xdr:colOff>628650</xdr:colOff>
      <xdr:row>15</xdr:row>
      <xdr:rowOff>152400</xdr:rowOff>
    </xdr:to>
    <xdr:sp macro="" textlink="">
      <xdr:nvSpPr>
        <xdr:cNvPr id="10" name="Forme libre 9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16</xdr:row>
      <xdr:rowOff>47229</xdr:rowOff>
    </xdr:from>
    <xdr:to>
      <xdr:col>1</xdr:col>
      <xdr:colOff>628650</xdr:colOff>
      <xdr:row>16</xdr:row>
      <xdr:rowOff>152400</xdr:rowOff>
    </xdr:to>
    <xdr:sp macro="" textlink="">
      <xdr:nvSpPr>
        <xdr:cNvPr id="11" name="Forme libre 10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17</xdr:row>
      <xdr:rowOff>47229</xdr:rowOff>
    </xdr:from>
    <xdr:to>
      <xdr:col>1</xdr:col>
      <xdr:colOff>628650</xdr:colOff>
      <xdr:row>17</xdr:row>
      <xdr:rowOff>152400</xdr:rowOff>
    </xdr:to>
    <xdr:sp macro="" textlink="">
      <xdr:nvSpPr>
        <xdr:cNvPr id="12" name="Forme libre 11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18</xdr:row>
      <xdr:rowOff>47229</xdr:rowOff>
    </xdr:from>
    <xdr:to>
      <xdr:col>1</xdr:col>
      <xdr:colOff>628650</xdr:colOff>
      <xdr:row>18</xdr:row>
      <xdr:rowOff>152400</xdr:rowOff>
    </xdr:to>
    <xdr:sp macro="" textlink="">
      <xdr:nvSpPr>
        <xdr:cNvPr id="13" name="Forme libre 12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19</xdr:row>
      <xdr:rowOff>47229</xdr:rowOff>
    </xdr:from>
    <xdr:to>
      <xdr:col>1</xdr:col>
      <xdr:colOff>628650</xdr:colOff>
      <xdr:row>19</xdr:row>
      <xdr:rowOff>152400</xdr:rowOff>
    </xdr:to>
    <xdr:sp macro="" textlink="">
      <xdr:nvSpPr>
        <xdr:cNvPr id="14" name="Forme libre 13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20</xdr:row>
      <xdr:rowOff>47229</xdr:rowOff>
    </xdr:from>
    <xdr:to>
      <xdr:col>1</xdr:col>
      <xdr:colOff>628650</xdr:colOff>
      <xdr:row>20</xdr:row>
      <xdr:rowOff>152400</xdr:rowOff>
    </xdr:to>
    <xdr:sp macro="" textlink="">
      <xdr:nvSpPr>
        <xdr:cNvPr id="15" name="Forme libre 14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21</xdr:row>
      <xdr:rowOff>47229</xdr:rowOff>
    </xdr:from>
    <xdr:to>
      <xdr:col>1</xdr:col>
      <xdr:colOff>628650</xdr:colOff>
      <xdr:row>21</xdr:row>
      <xdr:rowOff>152400</xdr:rowOff>
    </xdr:to>
    <xdr:sp macro="" textlink="">
      <xdr:nvSpPr>
        <xdr:cNvPr id="16" name="Forme libre 15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22</xdr:row>
      <xdr:rowOff>47229</xdr:rowOff>
    </xdr:from>
    <xdr:to>
      <xdr:col>1</xdr:col>
      <xdr:colOff>628650</xdr:colOff>
      <xdr:row>22</xdr:row>
      <xdr:rowOff>152400</xdr:rowOff>
    </xdr:to>
    <xdr:sp macro="" textlink="">
      <xdr:nvSpPr>
        <xdr:cNvPr id="17" name="Forme libre 16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23</xdr:row>
      <xdr:rowOff>47229</xdr:rowOff>
    </xdr:from>
    <xdr:to>
      <xdr:col>1</xdr:col>
      <xdr:colOff>628650</xdr:colOff>
      <xdr:row>23</xdr:row>
      <xdr:rowOff>152400</xdr:rowOff>
    </xdr:to>
    <xdr:sp macro="" textlink="">
      <xdr:nvSpPr>
        <xdr:cNvPr id="18" name="Forme libre 17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24</xdr:row>
      <xdr:rowOff>47229</xdr:rowOff>
    </xdr:from>
    <xdr:to>
      <xdr:col>1</xdr:col>
      <xdr:colOff>628650</xdr:colOff>
      <xdr:row>24</xdr:row>
      <xdr:rowOff>152400</xdr:rowOff>
    </xdr:to>
    <xdr:sp macro="" textlink="">
      <xdr:nvSpPr>
        <xdr:cNvPr id="19" name="Forme libre 18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25</xdr:row>
      <xdr:rowOff>47229</xdr:rowOff>
    </xdr:from>
    <xdr:to>
      <xdr:col>1</xdr:col>
      <xdr:colOff>628650</xdr:colOff>
      <xdr:row>25</xdr:row>
      <xdr:rowOff>152400</xdr:rowOff>
    </xdr:to>
    <xdr:sp macro="" textlink="">
      <xdr:nvSpPr>
        <xdr:cNvPr id="20" name="Forme libre 19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26</xdr:row>
      <xdr:rowOff>47229</xdr:rowOff>
    </xdr:from>
    <xdr:to>
      <xdr:col>1</xdr:col>
      <xdr:colOff>628650</xdr:colOff>
      <xdr:row>26</xdr:row>
      <xdr:rowOff>152400</xdr:rowOff>
    </xdr:to>
    <xdr:sp macro="" textlink="">
      <xdr:nvSpPr>
        <xdr:cNvPr id="21" name="Forme libre 20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27</xdr:row>
      <xdr:rowOff>47229</xdr:rowOff>
    </xdr:from>
    <xdr:to>
      <xdr:col>1</xdr:col>
      <xdr:colOff>628650</xdr:colOff>
      <xdr:row>27</xdr:row>
      <xdr:rowOff>152400</xdr:rowOff>
    </xdr:to>
    <xdr:sp macro="" textlink="">
      <xdr:nvSpPr>
        <xdr:cNvPr id="23" name="Forme libre 22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27</xdr:row>
      <xdr:rowOff>47229</xdr:rowOff>
    </xdr:from>
    <xdr:to>
      <xdr:col>1</xdr:col>
      <xdr:colOff>628650</xdr:colOff>
      <xdr:row>27</xdr:row>
      <xdr:rowOff>152400</xdr:rowOff>
    </xdr:to>
    <xdr:sp macro="" textlink="">
      <xdr:nvSpPr>
        <xdr:cNvPr id="24" name="Forme libre 23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28</xdr:row>
      <xdr:rowOff>47229</xdr:rowOff>
    </xdr:from>
    <xdr:to>
      <xdr:col>1</xdr:col>
      <xdr:colOff>628650</xdr:colOff>
      <xdr:row>28</xdr:row>
      <xdr:rowOff>152400</xdr:rowOff>
    </xdr:to>
    <xdr:sp macro="" textlink="">
      <xdr:nvSpPr>
        <xdr:cNvPr id="25" name="Forme libre 24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29</xdr:row>
      <xdr:rowOff>47229</xdr:rowOff>
    </xdr:from>
    <xdr:to>
      <xdr:col>1</xdr:col>
      <xdr:colOff>628650</xdr:colOff>
      <xdr:row>29</xdr:row>
      <xdr:rowOff>152400</xdr:rowOff>
    </xdr:to>
    <xdr:sp macro="" textlink="">
      <xdr:nvSpPr>
        <xdr:cNvPr id="26" name="Forme libre 25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30</xdr:row>
      <xdr:rowOff>47229</xdr:rowOff>
    </xdr:from>
    <xdr:to>
      <xdr:col>1</xdr:col>
      <xdr:colOff>628650</xdr:colOff>
      <xdr:row>30</xdr:row>
      <xdr:rowOff>152400</xdr:rowOff>
    </xdr:to>
    <xdr:sp macro="" textlink="">
      <xdr:nvSpPr>
        <xdr:cNvPr id="27" name="Forme libre 26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31</xdr:row>
      <xdr:rowOff>47229</xdr:rowOff>
    </xdr:from>
    <xdr:to>
      <xdr:col>1</xdr:col>
      <xdr:colOff>628650</xdr:colOff>
      <xdr:row>31</xdr:row>
      <xdr:rowOff>152400</xdr:rowOff>
    </xdr:to>
    <xdr:sp macro="" textlink="">
      <xdr:nvSpPr>
        <xdr:cNvPr id="28" name="Forme libre 27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32</xdr:row>
      <xdr:rowOff>47229</xdr:rowOff>
    </xdr:from>
    <xdr:to>
      <xdr:col>1</xdr:col>
      <xdr:colOff>628650</xdr:colOff>
      <xdr:row>32</xdr:row>
      <xdr:rowOff>152400</xdr:rowOff>
    </xdr:to>
    <xdr:sp macro="" textlink="">
      <xdr:nvSpPr>
        <xdr:cNvPr id="29" name="Forme libre 28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33</xdr:row>
      <xdr:rowOff>47229</xdr:rowOff>
    </xdr:from>
    <xdr:to>
      <xdr:col>1</xdr:col>
      <xdr:colOff>628650</xdr:colOff>
      <xdr:row>33</xdr:row>
      <xdr:rowOff>152400</xdr:rowOff>
    </xdr:to>
    <xdr:sp macro="" textlink="">
      <xdr:nvSpPr>
        <xdr:cNvPr id="30" name="Forme libre 29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A129"/>
  <sheetViews>
    <sheetView showGridLines="0" tabSelected="1" showWhiteSpace="0" topLeftCell="A4" zoomScale="90" zoomScaleNormal="90" zoomScaleSheetLayoutView="100" zoomScalePageLayoutView="205" workbookViewId="0">
      <selection activeCell="L34" sqref="L34"/>
    </sheetView>
  </sheetViews>
  <sheetFormatPr baseColWidth="10" defaultRowHeight="12.75" x14ac:dyDescent="0.2"/>
  <cols>
    <col min="1" max="1" width="23.140625" style="112" customWidth="1"/>
    <col min="2" max="3" width="15.5703125" style="112" customWidth="1"/>
    <col min="4" max="4" width="16.5703125" style="112" customWidth="1"/>
    <col min="5" max="5" width="15.28515625" style="112" customWidth="1"/>
    <col min="6" max="6" width="13.140625" style="112" customWidth="1"/>
    <col min="7" max="7" width="13.42578125" style="112" customWidth="1"/>
    <col min="8" max="8" width="13.28515625" style="112" customWidth="1"/>
    <col min="9" max="9" width="13.5703125" style="112" customWidth="1"/>
    <col min="10" max="12" width="11.42578125" style="112"/>
    <col min="13" max="13" width="22.5703125" style="112" bestFit="1" customWidth="1"/>
    <col min="14" max="14" width="15.28515625" style="112" bestFit="1" customWidth="1"/>
    <col min="15" max="15" width="21" style="112" bestFit="1" customWidth="1"/>
    <col min="16" max="16" width="11.42578125" style="112"/>
    <col min="17" max="17" width="10" style="112" bestFit="1" customWidth="1"/>
    <col min="18" max="18" width="8.28515625" style="112" bestFit="1" customWidth="1"/>
    <col min="19" max="19" width="23.140625" style="112" bestFit="1" customWidth="1"/>
    <col min="20" max="20" width="24.85546875" style="112" bestFit="1" customWidth="1"/>
    <col min="21" max="21" width="25.5703125" style="112" bestFit="1" customWidth="1"/>
    <col min="22" max="22" width="30.7109375" style="112" bestFit="1" customWidth="1"/>
    <col min="23" max="23" width="19.140625" style="112" bestFit="1" customWidth="1"/>
    <col min="24" max="24" width="33.42578125" style="112" bestFit="1" customWidth="1"/>
    <col min="25" max="25" width="33.5703125" style="112" bestFit="1" customWidth="1"/>
    <col min="26" max="26" width="28" style="112" bestFit="1" customWidth="1"/>
    <col min="27" max="27" width="24.28515625" style="112" bestFit="1" customWidth="1"/>
    <col min="28" max="16384" width="11.42578125" style="112"/>
  </cols>
  <sheetData>
    <row r="1" spans="1:13" x14ac:dyDescent="0.2">
      <c r="A1" s="81"/>
      <c r="B1" s="81"/>
      <c r="C1" s="81"/>
      <c r="D1" s="81"/>
      <c r="E1" s="81"/>
      <c r="F1" s="81"/>
      <c r="G1" s="81"/>
      <c r="H1" s="81"/>
      <c r="I1" s="81"/>
      <c r="J1" s="82"/>
    </row>
    <row r="2" spans="1:13" x14ac:dyDescent="0.2">
      <c r="A2" s="81"/>
      <c r="B2" s="81"/>
      <c r="C2" s="81"/>
      <c r="D2" s="81"/>
      <c r="E2" s="81"/>
      <c r="F2" s="81"/>
      <c r="G2" s="81"/>
      <c r="H2" s="81"/>
      <c r="I2" s="81"/>
      <c r="J2" s="82"/>
      <c r="L2" s="112">
        <v>8</v>
      </c>
      <c r="M2" s="112" t="str">
        <f>VLOOKUP(L2,'Liste bassin'!$A$1:$B$38,2,0)</f>
        <v>Essonne</v>
      </c>
    </row>
    <row r="3" spans="1:13" ht="15.75" x14ac:dyDescent="0.25">
      <c r="A3" s="81"/>
      <c r="B3" s="81"/>
      <c r="C3" s="81"/>
      <c r="D3" s="81"/>
      <c r="E3" s="81"/>
      <c r="F3" s="81"/>
      <c r="G3" s="81"/>
      <c r="H3" s="81"/>
      <c r="I3" s="81"/>
      <c r="J3" s="82"/>
      <c r="L3" s="151" t="str">
        <f>M2</f>
        <v>Essonne</v>
      </c>
      <c r="M3" s="151"/>
    </row>
    <row r="4" spans="1:13" x14ac:dyDescent="0.2">
      <c r="A4" s="81"/>
      <c r="B4" s="81"/>
      <c r="C4" s="81"/>
      <c r="D4" s="81"/>
      <c r="E4" s="81"/>
      <c r="F4" s="81"/>
      <c r="G4" s="81"/>
      <c r="H4" s="81"/>
      <c r="I4" s="81"/>
      <c r="J4" s="82"/>
    </row>
    <row r="5" spans="1:13" x14ac:dyDescent="0.2">
      <c r="A5" s="81"/>
      <c r="B5" s="81"/>
      <c r="C5" s="81"/>
      <c r="D5" s="81"/>
      <c r="E5" s="81"/>
      <c r="F5" s="81"/>
      <c r="G5" s="81"/>
      <c r="H5" s="81"/>
      <c r="I5" s="81"/>
      <c r="J5" s="82"/>
    </row>
    <row r="6" spans="1:13" x14ac:dyDescent="0.2">
      <c r="A6" s="81"/>
      <c r="B6" s="81"/>
      <c r="C6" s="81"/>
      <c r="D6" s="81"/>
      <c r="E6" s="81"/>
      <c r="F6" s="81"/>
      <c r="G6" s="81"/>
      <c r="H6" s="81"/>
      <c r="I6" s="81"/>
      <c r="J6" s="82"/>
    </row>
    <row r="7" spans="1:13" x14ac:dyDescent="0.2">
      <c r="A7" s="81"/>
      <c r="B7" s="81"/>
      <c r="C7" s="81"/>
      <c r="D7" s="81"/>
      <c r="E7" s="81"/>
      <c r="F7" s="81"/>
      <c r="G7" s="81"/>
      <c r="H7" s="81"/>
      <c r="I7" s="81"/>
      <c r="J7" s="82"/>
    </row>
    <row r="8" spans="1:13" x14ac:dyDescent="0.2">
      <c r="A8" s="81"/>
      <c r="B8" s="81"/>
      <c r="C8" s="81"/>
      <c r="D8" s="81"/>
      <c r="E8" s="81"/>
      <c r="F8" s="81"/>
      <c r="G8" s="81"/>
      <c r="H8" s="81"/>
      <c r="I8" s="81"/>
      <c r="J8" s="82"/>
    </row>
    <row r="9" spans="1:13" ht="12.75" customHeight="1" x14ac:dyDescent="0.2">
      <c r="A9" s="81"/>
      <c r="B9" s="81"/>
      <c r="C9" s="81"/>
      <c r="D9" s="81"/>
      <c r="E9" s="81"/>
      <c r="F9" s="81"/>
      <c r="G9" s="81"/>
      <c r="H9" s="81"/>
      <c r="I9" s="81"/>
      <c r="J9" s="82"/>
    </row>
    <row r="10" spans="1:13" ht="12.75" customHeight="1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2"/>
    </row>
    <row r="11" spans="1:13" ht="12.75" customHeight="1" x14ac:dyDescent="0.2">
      <c r="A11" s="81"/>
      <c r="B11" s="81"/>
      <c r="C11" s="81"/>
      <c r="D11" s="81"/>
      <c r="E11" s="81"/>
      <c r="F11" s="81"/>
      <c r="G11" s="81"/>
      <c r="H11" s="81"/>
      <c r="I11" s="81"/>
      <c r="J11" s="82"/>
    </row>
    <row r="12" spans="1:13" ht="12.75" customHeight="1" x14ac:dyDescent="0.2">
      <c r="A12" s="81"/>
      <c r="B12" s="81"/>
      <c r="C12" s="81"/>
      <c r="D12" s="81"/>
      <c r="E12" s="81"/>
      <c r="F12" s="81"/>
      <c r="G12" s="81"/>
      <c r="H12" s="81"/>
      <c r="I12" s="81"/>
      <c r="J12" s="82"/>
    </row>
    <row r="13" spans="1:13" x14ac:dyDescent="0.2">
      <c r="A13" s="81"/>
      <c r="B13" s="81"/>
      <c r="C13" s="81"/>
      <c r="D13" s="81"/>
      <c r="E13" s="81"/>
      <c r="F13" s="81"/>
      <c r="G13" s="81"/>
      <c r="H13" s="81"/>
      <c r="I13" s="81"/>
      <c r="J13" s="82"/>
    </row>
    <row r="14" spans="1:13" x14ac:dyDescent="0.2">
      <c r="A14" s="81"/>
      <c r="B14" s="81"/>
      <c r="C14" s="81"/>
      <c r="D14" s="81"/>
      <c r="E14" s="81"/>
      <c r="F14" s="81"/>
      <c r="G14" s="81"/>
      <c r="H14" s="81"/>
      <c r="I14" s="81"/>
      <c r="J14" s="82"/>
    </row>
    <row r="15" spans="1:13" x14ac:dyDescent="0.2">
      <c r="A15" s="81"/>
      <c r="B15" s="81"/>
      <c r="C15" s="81"/>
      <c r="D15" s="81"/>
      <c r="E15" s="81"/>
      <c r="F15" s="81"/>
      <c r="G15" s="81"/>
      <c r="H15" s="81"/>
      <c r="I15" s="81"/>
      <c r="J15" s="82"/>
    </row>
    <row r="16" spans="1:13" x14ac:dyDescent="0.2">
      <c r="A16" s="81"/>
      <c r="B16" s="81"/>
      <c r="C16" s="81"/>
      <c r="D16" s="81"/>
      <c r="E16" s="81"/>
      <c r="F16" s="81"/>
      <c r="G16" s="81"/>
      <c r="H16" s="81"/>
      <c r="I16" s="81"/>
      <c r="J16" s="82"/>
    </row>
    <row r="17" spans="1:10" x14ac:dyDescent="0.2">
      <c r="A17" s="82"/>
      <c r="B17" s="82"/>
      <c r="C17" s="82"/>
      <c r="D17" s="82"/>
      <c r="E17" s="82"/>
      <c r="F17" s="82"/>
      <c r="G17" s="82"/>
      <c r="H17" s="82"/>
      <c r="I17" s="82"/>
      <c r="J17" s="82"/>
    </row>
    <row r="18" spans="1:10" x14ac:dyDescent="0.2">
      <c r="A18" s="81"/>
      <c r="B18" s="81"/>
      <c r="C18" s="82"/>
      <c r="D18" s="82"/>
      <c r="E18" s="82"/>
      <c r="F18" s="82"/>
      <c r="G18" s="82"/>
      <c r="H18" s="82"/>
      <c r="I18" s="82"/>
      <c r="J18" s="82"/>
    </row>
    <row r="19" spans="1:10" x14ac:dyDescent="0.2">
      <c r="A19" s="81"/>
      <c r="B19" s="81"/>
      <c r="C19" s="82"/>
      <c r="D19" s="82"/>
      <c r="E19" s="82"/>
      <c r="F19" s="82"/>
      <c r="G19" s="82"/>
      <c r="H19" s="82"/>
      <c r="I19" s="82"/>
      <c r="J19" s="82"/>
    </row>
    <row r="20" spans="1:10" ht="12.75" customHeight="1" x14ac:dyDescent="0.2">
      <c r="A20" s="81"/>
      <c r="B20" s="149" t="str">
        <f>IF(VLOOKUP(M2,Cartes!$B$1:$E$37,4,0)="OUI","----- Bassins principalement composés de communes de la petite couronne","")</f>
        <v/>
      </c>
      <c r="C20" s="149"/>
      <c r="D20" s="82"/>
      <c r="E20" s="82"/>
      <c r="F20" s="82"/>
      <c r="G20" s="82"/>
      <c r="H20" s="82"/>
      <c r="I20" s="82"/>
      <c r="J20" s="82"/>
    </row>
    <row r="21" spans="1:10" x14ac:dyDescent="0.2">
      <c r="A21" s="81"/>
      <c r="B21" s="149"/>
      <c r="C21" s="149"/>
      <c r="D21" s="82"/>
      <c r="E21" s="82"/>
      <c r="F21" s="82"/>
      <c r="G21" s="82"/>
      <c r="H21" s="82"/>
      <c r="I21" s="82"/>
      <c r="J21" s="82"/>
    </row>
    <row r="22" spans="1:10" ht="15" customHeight="1" x14ac:dyDescent="0.2">
      <c r="A22" s="81"/>
      <c r="B22" s="81"/>
      <c r="C22" s="82"/>
      <c r="D22" s="82"/>
      <c r="E22" s="82"/>
      <c r="F22" s="82"/>
      <c r="G22" s="82"/>
      <c r="H22" s="82"/>
      <c r="I22" s="82"/>
      <c r="J22" s="82"/>
    </row>
    <row r="23" spans="1:10" ht="15" customHeight="1" x14ac:dyDescent="0.2">
      <c r="A23" s="81"/>
      <c r="B23" s="81"/>
      <c r="C23" s="82"/>
      <c r="D23" s="153" t="s">
        <v>209</v>
      </c>
      <c r="E23" s="154"/>
      <c r="F23" s="150" t="str">
        <f>M2</f>
        <v>Essonne</v>
      </c>
      <c r="G23" s="150"/>
      <c r="H23" s="150"/>
      <c r="I23" s="152" t="str">
        <f ca="1">IF(ISERROR(VLOOKUP(F23,OFFSET(Cartes!$B$1,,,COUNTA(Cartes!$B:$B),3),3,FALSE)),0,VLOOKUP(F23,OFFSET(Cartes!$B$1,,,COUNTA(Cartes!$B:$B),3),3,FALSE))</f>
        <v xml:space="preserve">Ile-de-France </v>
      </c>
      <c r="J23" s="152"/>
    </row>
    <row r="24" spans="1:10" ht="15" customHeight="1" x14ac:dyDescent="0.2">
      <c r="A24" s="81"/>
      <c r="B24" s="81"/>
      <c r="C24" s="82"/>
      <c r="D24" s="153"/>
      <c r="E24" s="154"/>
      <c r="F24" s="106" t="s">
        <v>229</v>
      </c>
      <c r="G24" s="106">
        <v>2017</v>
      </c>
      <c r="H24" s="106" t="s">
        <v>202</v>
      </c>
      <c r="I24" s="105" t="s">
        <v>230</v>
      </c>
      <c r="J24" s="105" t="s">
        <v>215</v>
      </c>
    </row>
    <row r="25" spans="1:10" ht="15" customHeight="1" x14ac:dyDescent="0.2">
      <c r="A25" s="82"/>
      <c r="B25" s="82"/>
      <c r="C25" s="82"/>
      <c r="D25" s="155" t="s">
        <v>87</v>
      </c>
      <c r="E25" s="155"/>
      <c r="F25" s="98">
        <f>VLOOKUP(M2,Données!$B:$CN,21,0)</f>
        <v>0.23297220230585877</v>
      </c>
      <c r="G25" s="98">
        <f>VLOOKUP(M2,Données!$B:$CN,20,0)</f>
        <v>0.21305054340418106</v>
      </c>
      <c r="H25" s="97" t="str">
        <f>VLOOKUP(M2,Données!$B:$CN,22,0)</f>
        <v>2 pt(s)</v>
      </c>
      <c r="I25" s="98">
        <f ca="1">IF(ISERROR(VLOOKUP(I23,Données!$B:$CN,21,0))," ",VLOOKUP(I23,Données!$B:$CN,21,0))</f>
        <v>0.22497031986069096</v>
      </c>
      <c r="J25" s="103"/>
    </row>
    <row r="26" spans="1:10" ht="15" customHeight="1" x14ac:dyDescent="0.2">
      <c r="A26" s="82"/>
      <c r="B26" s="82"/>
      <c r="C26" s="82"/>
      <c r="D26" s="155" t="s">
        <v>88</v>
      </c>
      <c r="E26" s="155"/>
      <c r="F26" s="97">
        <f>VLOOKUP(M2,Données!B:D,3,0)</f>
        <v>30294.227736253004</v>
      </c>
      <c r="G26" s="97">
        <f>VLOOKUP(M2,Données!B:D,2,0)</f>
        <v>26323.06215596175</v>
      </c>
      <c r="H26" s="98">
        <f>VLOOKUP(M2,Données!$B:$CN,4,0)</f>
        <v>0.15086259937246127</v>
      </c>
      <c r="I26" s="97">
        <f ca="1">IF(ISERROR(VLOOKUP(I23,Données!B:D,3,0))," ",VLOOKUP(I23,Données!B:D,3,0))</f>
        <v>418230.76325515198</v>
      </c>
      <c r="J26" s="98">
        <f ca="1">IF(I26=0,"-",F26/I26)</f>
        <v>7.243424061029978E-2</v>
      </c>
    </row>
    <row r="27" spans="1:10" ht="15" customHeight="1" x14ac:dyDescent="0.2">
      <c r="A27" s="82"/>
      <c r="B27" s="82"/>
      <c r="C27" s="82"/>
      <c r="D27" s="156" t="s">
        <v>89</v>
      </c>
      <c r="E27" s="156"/>
      <c r="F27" s="97">
        <f>VLOOKUP(M2,Données!B:CN,6,0)</f>
        <v>13048.475632062</v>
      </c>
      <c r="G27" s="97">
        <f>VLOOKUP(M2,Données!B:CN,5,0)</f>
        <v>9312.600812950257</v>
      </c>
      <c r="H27" s="98">
        <f>VLOOKUP(M2,Données!$B:$CN,7,0)</f>
        <v>0.40116342299527896</v>
      </c>
      <c r="I27" s="97">
        <f ca="1">IF(ISERROR(VLOOKUP(I23,Données!B:CN,6,0))," ",VLOOKUP(I23,Données!B:CN,6,0))</f>
        <v>174692.15490525501</v>
      </c>
      <c r="J27" s="98">
        <f ca="1">IF(I27=0,"-",F27/I27)</f>
        <v>7.4694113419912264E-2</v>
      </c>
    </row>
    <row r="28" spans="1:10" ht="15" customHeight="1" x14ac:dyDescent="0.2">
      <c r="A28" s="82"/>
      <c r="B28" s="82"/>
      <c r="C28" s="82"/>
      <c r="D28" s="156" t="s">
        <v>90</v>
      </c>
      <c r="E28" s="156"/>
      <c r="F28" s="97">
        <f>VLOOKUP(M2,Données!$B:$CN,9,0)</f>
        <v>4494.918912956</v>
      </c>
      <c r="G28" s="97">
        <f>VLOOKUP(M2,Données!$B:$CN,8,0)</f>
        <v>3351.358293057323</v>
      </c>
      <c r="H28" s="98">
        <f>VLOOKUP(M2,Données!$B:$CN,10,0)</f>
        <v>0.34122302657632231</v>
      </c>
      <c r="I28" s="97">
        <f ca="1">IF(ISERROR(VLOOKUP(I23,Données!$B:$CN,9,0))," ",VLOOKUP(I23,Données!$B:$CN,9,0))</f>
        <v>61283.653614627998</v>
      </c>
      <c r="J28" s="98">
        <f ca="1">IF(I28=0,"-",F28/I28)</f>
        <v>7.3346131436965972E-2</v>
      </c>
    </row>
    <row r="29" spans="1:10" x14ac:dyDescent="0.2">
      <c r="A29" s="82"/>
      <c r="B29" s="82"/>
      <c r="C29" s="82"/>
      <c r="D29" s="82"/>
      <c r="E29" s="82"/>
      <c r="F29" s="82"/>
      <c r="G29" s="82"/>
      <c r="H29" s="82"/>
      <c r="I29" s="81"/>
      <c r="J29" s="82"/>
    </row>
    <row r="30" spans="1:10" x14ac:dyDescent="0.2">
      <c r="A30" s="82"/>
      <c r="B30" s="82"/>
      <c r="C30" s="82"/>
      <c r="D30" s="82"/>
      <c r="E30" s="82"/>
      <c r="F30" s="82"/>
      <c r="G30" s="82"/>
      <c r="H30" s="82"/>
      <c r="I30" s="81"/>
      <c r="J30" s="82"/>
    </row>
    <row r="31" spans="1:10" x14ac:dyDescent="0.2">
      <c r="A31" s="81"/>
      <c r="B31" s="81"/>
      <c r="C31" s="82"/>
      <c r="D31" s="82"/>
      <c r="E31" s="82"/>
      <c r="F31" s="82"/>
      <c r="G31" s="82"/>
      <c r="H31" s="82"/>
      <c r="I31" s="82"/>
      <c r="J31" s="82"/>
    </row>
    <row r="32" spans="1:10" x14ac:dyDescent="0.2">
      <c r="A32" s="82"/>
      <c r="B32" s="82"/>
      <c r="C32" s="82"/>
      <c r="D32" s="82"/>
      <c r="E32" s="82"/>
      <c r="F32" s="82"/>
      <c r="G32" s="82"/>
      <c r="H32" s="82"/>
      <c r="I32" s="82"/>
      <c r="J32" s="82"/>
    </row>
    <row r="33" spans="1:15" x14ac:dyDescent="0.2">
      <c r="A33" s="82"/>
      <c r="B33" s="82"/>
      <c r="C33" s="82"/>
      <c r="D33" s="82"/>
      <c r="E33" s="82"/>
      <c r="F33" s="82"/>
      <c r="G33" s="82"/>
      <c r="H33" s="82"/>
      <c r="I33" s="82"/>
      <c r="J33" s="82"/>
    </row>
    <row r="34" spans="1:15" ht="15" customHeight="1" x14ac:dyDescent="0.2">
      <c r="A34" s="82"/>
      <c r="B34" s="82"/>
      <c r="C34" s="82"/>
      <c r="D34" s="82"/>
      <c r="E34" s="82"/>
      <c r="F34" s="82"/>
      <c r="G34" s="82"/>
      <c r="H34" s="82"/>
      <c r="I34" s="82"/>
      <c r="J34" s="82"/>
      <c r="M34" s="113" t="str">
        <f>"Le top 10 représente "&amp;ROUND((SUM(G36:G45)/F26)*100,1)&amp;"% des projets de recrutements"</f>
        <v>Le top 10 représente 34,8% des projets de recrutements</v>
      </c>
    </row>
    <row r="35" spans="1:15" ht="51" x14ac:dyDescent="0.2">
      <c r="A35" s="82"/>
      <c r="B35" s="107"/>
      <c r="C35" s="147" t="s">
        <v>214</v>
      </c>
      <c r="D35" s="147"/>
      <c r="E35" s="147"/>
      <c r="F35" s="148"/>
      <c r="G35" s="104" t="s">
        <v>120</v>
      </c>
      <c r="H35" s="105" t="s">
        <v>121</v>
      </c>
      <c r="I35" s="105" t="s">
        <v>122</v>
      </c>
      <c r="J35" s="105" t="s">
        <v>206</v>
      </c>
    </row>
    <row r="36" spans="1:15" ht="15" customHeight="1" x14ac:dyDescent="0.2">
      <c r="A36" s="82"/>
      <c r="B36" s="109" t="str">
        <f>VLOOKUP($M$2,Données!$B:$CN,L43,0)</f>
        <v>Agents d'entretien de locaux (y compris ATSEM)</v>
      </c>
      <c r="C36" s="84"/>
      <c r="D36" s="84"/>
      <c r="E36" s="84"/>
      <c r="F36" s="84"/>
      <c r="G36" s="99">
        <f>VLOOKUP($M$2,Données!$B:$CN,M43,0)</f>
        <v>2377.4828381964589</v>
      </c>
      <c r="H36" s="99">
        <f>VLOOKUP($M$2,Données!$B:$CN,N43,0)</f>
        <v>70.45373906453662</v>
      </c>
      <c r="I36" s="99">
        <f>VLOOKUP($M$2,Données!$B:$CN,O43,0)</f>
        <v>415.06805868100741</v>
      </c>
      <c r="J36" s="100">
        <f t="shared" ref="J36:J45" si="0">H36/G36</f>
        <v>2.9633752947710996E-2</v>
      </c>
    </row>
    <row r="37" spans="1:15" ht="15" customHeight="1" x14ac:dyDescent="0.2">
      <c r="A37" s="82"/>
      <c r="B37" s="109" t="str">
        <f>VLOOKUP($M$2,Données!$B:$CN,L44,0)</f>
        <v>Aides, apprentis, employés polyvalents de cuisine (y compris crêpes, pizzas, plonge …)</v>
      </c>
      <c r="C37" s="84"/>
      <c r="D37" s="84"/>
      <c r="E37" s="84"/>
      <c r="F37" s="84"/>
      <c r="G37" s="97">
        <f>VLOOKUP($M$2,Données!$B:$CN,M44,0)</f>
        <v>1508.3462946438892</v>
      </c>
      <c r="H37" s="97">
        <f>VLOOKUP($M$2,Données!$B:$CN,N44,0)</f>
        <v>855.96148883767057</v>
      </c>
      <c r="I37" s="97">
        <f>VLOOKUP($M$2,Données!$B:$CN,O44,0)</f>
        <v>601.39734714345741</v>
      </c>
      <c r="J37" s="98">
        <f t="shared" si="0"/>
        <v>0.56748340343141002</v>
      </c>
    </row>
    <row r="38" spans="1:15" ht="15" customHeight="1" x14ac:dyDescent="0.2">
      <c r="A38" s="82"/>
      <c r="B38" s="109" t="str">
        <f>VLOOKUP($M$2,Données!$B:$CN,L45,0)</f>
        <v>Aides-soignants (aides médico-psychologiques, auxiliaires de puériculture, assistants médicaux…)</v>
      </c>
      <c r="C38" s="84"/>
      <c r="D38" s="84"/>
      <c r="E38" s="84"/>
      <c r="F38" s="84"/>
      <c r="G38" s="97">
        <f>VLOOKUP($M$2,Données!$B:$CN,M45,0)</f>
        <v>1354.0364120767047</v>
      </c>
      <c r="H38" s="97">
        <f>VLOOKUP($M$2,Données!$B:$CN,N45,0)</f>
        <v>945.44405444179176</v>
      </c>
      <c r="I38" s="97">
        <f>VLOOKUP($M$2,Données!$B:$CN,O45,0)</f>
        <v>214.39672414149382</v>
      </c>
      <c r="J38" s="98">
        <f t="shared" si="0"/>
        <v>0.69824123340357658</v>
      </c>
    </row>
    <row r="39" spans="1:15" ht="15" customHeight="1" x14ac:dyDescent="0.2">
      <c r="A39" s="82"/>
      <c r="B39" s="109" t="str">
        <f>VLOOKUP($M$2,Données!$B:$CN,L46,0)</f>
        <v>Ouvriers non qualifiés de l'emballage et manutentionnaires</v>
      </c>
      <c r="C39" s="84"/>
      <c r="D39" s="84"/>
      <c r="E39" s="84"/>
      <c r="F39" s="84"/>
      <c r="G39" s="97">
        <f>VLOOKUP($M$2,Données!$B:$CN,M46,0)</f>
        <v>1343.9297600751815</v>
      </c>
      <c r="H39" s="97">
        <f>VLOOKUP($M$2,Données!$B:$CN,N46,0)</f>
        <v>286.76190322413981</v>
      </c>
      <c r="I39" s="97">
        <f>VLOOKUP($M$2,Données!$B:$CN,O46,0)</f>
        <v>327.01065410633112</v>
      </c>
      <c r="J39" s="98">
        <f t="shared" si="0"/>
        <v>0.21337566273411335</v>
      </c>
    </row>
    <row r="40" spans="1:15" ht="15" customHeight="1" x14ac:dyDescent="0.2">
      <c r="A40" s="82"/>
      <c r="B40" s="109" t="str">
        <f>VLOOKUP($M$2,Données!$B:$CN,L47,0)</f>
        <v>Employés de libre-service</v>
      </c>
      <c r="C40" s="84"/>
      <c r="D40" s="84"/>
      <c r="E40" s="84"/>
      <c r="F40" s="84"/>
      <c r="G40" s="97">
        <f>VLOOKUP($M$2,Données!$B:$CN,M47,0)</f>
        <v>748.74677853726007</v>
      </c>
      <c r="H40" s="97">
        <f>VLOOKUP($M$2,Données!$B:$CN,N47,0)</f>
        <v>178.39745101824656</v>
      </c>
      <c r="I40" s="97">
        <f>VLOOKUP($M$2,Données!$B:$CN,O47,0)</f>
        <v>131.6386515026272</v>
      </c>
      <c r="J40" s="98">
        <f t="shared" si="0"/>
        <v>0.23826139374751101</v>
      </c>
    </row>
    <row r="41" spans="1:15" ht="15" customHeight="1" x14ac:dyDescent="0.2">
      <c r="A41" s="82"/>
      <c r="B41" s="109" t="str">
        <f>VLOOKUP($M$2,Données!$B:$CN,L48,0)</f>
        <v>Professionnels de l'animation socioculturelle (animateurs et directeurs)</v>
      </c>
      <c r="C41" s="84"/>
      <c r="D41" s="84"/>
      <c r="E41" s="84"/>
      <c r="F41" s="84"/>
      <c r="G41" s="97">
        <f>VLOOKUP($M$2,Données!$B:$CN,M48,0)</f>
        <v>673.3967733347904</v>
      </c>
      <c r="H41" s="97">
        <f>VLOOKUP($M$2,Données!$B:$CN,N48,0)</f>
        <v>164.91518138440995</v>
      </c>
      <c r="I41" s="97">
        <f>VLOOKUP($M$2,Données!$B:$CN,O48,0)</f>
        <v>353.40388767100484</v>
      </c>
      <c r="J41" s="98">
        <f t="shared" si="0"/>
        <v>0.24490046272083876</v>
      </c>
    </row>
    <row r="42" spans="1:15" ht="15" customHeight="1" x14ac:dyDescent="0.2">
      <c r="A42" s="82"/>
      <c r="B42" s="109" t="str">
        <f>VLOOKUP($M$2,Données!$B:$CN,L49,0)</f>
        <v>Agents de services hospitaliers</v>
      </c>
      <c r="C42" s="84"/>
      <c r="D42" s="84"/>
      <c r="E42" s="84"/>
      <c r="F42" s="84"/>
      <c r="G42" s="97">
        <f>VLOOKUP($M$2,Données!$B:$CN,M49,0)</f>
        <v>649.93091931341473</v>
      </c>
      <c r="H42" s="97">
        <f>VLOOKUP($M$2,Données!$B:$CN,N49,0)</f>
        <v>15.874950637222591</v>
      </c>
      <c r="I42" s="97">
        <f>VLOOKUP($M$2,Données!$B:$CN,O49,0)</f>
        <v>17.116987869749146</v>
      </c>
      <c r="J42" s="98">
        <f t="shared" si="0"/>
        <v>2.4425596883423929E-2</v>
      </c>
    </row>
    <row r="43" spans="1:15" ht="15" customHeight="1" x14ac:dyDescent="0.2">
      <c r="A43" s="82"/>
      <c r="B43" s="109" t="str">
        <f>VLOOKUP($M$2,Données!$B:$CN,L50,0)</f>
        <v>Conducteurs et livreurs sur courte distance</v>
      </c>
      <c r="C43" s="84"/>
      <c r="D43" s="84"/>
      <c r="E43" s="84"/>
      <c r="F43" s="84"/>
      <c r="G43" s="97">
        <f>VLOOKUP($M$2,Données!$B:$CN,M50,0)</f>
        <v>641.87569309510855</v>
      </c>
      <c r="H43" s="97">
        <f>VLOOKUP($M$2,Données!$B:$CN,N50,0)</f>
        <v>349.55877941369556</v>
      </c>
      <c r="I43" s="97">
        <f>VLOOKUP($M$2,Données!$B:$CN,O50,0)</f>
        <v>7.605177988083434</v>
      </c>
      <c r="J43" s="98">
        <f t="shared" si="0"/>
        <v>0.54458952593785237</v>
      </c>
      <c r="L43" s="112">
        <v>27</v>
      </c>
      <c r="M43" s="112">
        <v>28</v>
      </c>
      <c r="N43" s="112">
        <v>29</v>
      </c>
      <c r="O43" s="112">
        <v>30</v>
      </c>
    </row>
    <row r="44" spans="1:15" ht="15" customHeight="1" x14ac:dyDescent="0.2">
      <c r="A44" s="82"/>
      <c r="B44" s="109" t="str">
        <f>VLOOKUP($M$2,Données!$B:$CN,L51,0)</f>
        <v>Aides à domicile, aides ménagères, travailleuses familiales</v>
      </c>
      <c r="C44" s="84"/>
      <c r="D44" s="84"/>
      <c r="E44" s="84"/>
      <c r="F44" s="84"/>
      <c r="G44" s="97">
        <f>VLOOKUP($M$2,Données!$B:$CN,M51,0)</f>
        <v>625.8016640250712</v>
      </c>
      <c r="H44" s="97">
        <f>VLOOKUP($M$2,Données!$B:$CN,N51,0)</f>
        <v>542.42052118146717</v>
      </c>
      <c r="I44" s="97">
        <f>VLOOKUP($M$2,Données!$B:$CN,O51,0)</f>
        <v>95.731350380374423</v>
      </c>
      <c r="J44" s="98">
        <f t="shared" si="0"/>
        <v>0.86676107201871622</v>
      </c>
      <c r="L44" s="112">
        <v>31</v>
      </c>
      <c r="M44" s="112">
        <v>32</v>
      </c>
      <c r="N44" s="112">
        <v>33</v>
      </c>
      <c r="O44" s="112">
        <v>34</v>
      </c>
    </row>
    <row r="45" spans="1:15" ht="15" customHeight="1" x14ac:dyDescent="0.2">
      <c r="A45" s="82"/>
      <c r="B45" s="109" t="str">
        <f>VLOOKUP($M$2,Données!$B:$CN,L52,0)</f>
        <v>Ingénieurs et cadres d'études, R et D en informatique, chefs de projets informatiques</v>
      </c>
      <c r="C45" s="84"/>
      <c r="D45" s="84"/>
      <c r="E45" s="84"/>
      <c r="F45" s="84"/>
      <c r="G45" s="97">
        <f>VLOOKUP($M$2,Données!$B:$CN,M52,0)</f>
        <v>624.19542051199949</v>
      </c>
      <c r="H45" s="97">
        <f>VLOOKUP($M$2,Données!$B:$CN,N52,0)</f>
        <v>292.37806651218449</v>
      </c>
      <c r="I45" s="97">
        <f>VLOOKUP($M$2,Données!$B:$CN,O52,0)</f>
        <v>3.4179120722143774</v>
      </c>
      <c r="J45" s="98">
        <f t="shared" si="0"/>
        <v>0.46840790064169308</v>
      </c>
      <c r="L45" s="112">
        <v>35</v>
      </c>
      <c r="M45" s="112">
        <v>36</v>
      </c>
      <c r="N45" s="112">
        <v>37</v>
      </c>
      <c r="O45" s="112">
        <v>38</v>
      </c>
    </row>
    <row r="46" spans="1:15" ht="15" customHeight="1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L46" s="112">
        <v>39</v>
      </c>
      <c r="M46" s="112">
        <v>40</v>
      </c>
      <c r="N46" s="112">
        <v>41</v>
      </c>
      <c r="O46" s="112">
        <v>42</v>
      </c>
    </row>
    <row r="47" spans="1:15" ht="12.75" customHeight="1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L47" s="112">
        <v>43</v>
      </c>
      <c r="M47" s="112">
        <v>44</v>
      </c>
      <c r="N47" s="112">
        <v>45</v>
      </c>
      <c r="O47" s="112">
        <v>46</v>
      </c>
    </row>
    <row r="48" spans="1:15" ht="12.75" customHeight="1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L48" s="112">
        <v>47</v>
      </c>
      <c r="M48" s="112">
        <v>48</v>
      </c>
      <c r="N48" s="112">
        <v>49</v>
      </c>
      <c r="O48" s="112">
        <v>50</v>
      </c>
    </row>
    <row r="49" spans="1:27" ht="12.75" customHeight="1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L49" s="112">
        <v>51</v>
      </c>
      <c r="M49" s="112">
        <v>52</v>
      </c>
      <c r="N49" s="112">
        <v>53</v>
      </c>
      <c r="O49" s="112">
        <v>54</v>
      </c>
    </row>
    <row r="50" spans="1:27" ht="12.75" customHeight="1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L50" s="112">
        <v>55</v>
      </c>
      <c r="M50" s="112">
        <v>56</v>
      </c>
      <c r="N50" s="112">
        <v>57</v>
      </c>
      <c r="O50" s="112">
        <v>58</v>
      </c>
    </row>
    <row r="51" spans="1:27" ht="12.75" customHeight="1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L51" s="112">
        <v>59</v>
      </c>
      <c r="M51" s="112">
        <v>60</v>
      </c>
      <c r="N51" s="112">
        <v>61</v>
      </c>
      <c r="O51" s="112">
        <v>62</v>
      </c>
    </row>
    <row r="52" spans="1:27" ht="12.75" customHeight="1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L52" s="112">
        <v>63</v>
      </c>
      <c r="M52" s="112">
        <v>64</v>
      </c>
      <c r="N52" s="112">
        <v>65</v>
      </c>
      <c r="O52" s="112">
        <v>66</v>
      </c>
    </row>
    <row r="53" spans="1:27" ht="12.75" customHeight="1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</row>
    <row r="54" spans="1:27" ht="12.75" customHeight="1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</row>
    <row r="55" spans="1:27" ht="12.75" customHeight="1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</row>
    <row r="56" spans="1:27" ht="12.75" customHeight="1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M56" s="112" t="s">
        <v>207</v>
      </c>
      <c r="N56" s="112" t="str">
        <f>Données!BQ1</f>
        <v>IAA et agriculture</v>
      </c>
      <c r="O56" s="112" t="str">
        <f>Données!BR1</f>
        <v>Industrie manufacturière</v>
      </c>
      <c r="P56" s="112" t="str">
        <f>Données!BS1</f>
        <v>Construction</v>
      </c>
      <c r="Q56" s="112" t="str">
        <f>Données!BT1</f>
        <v>Commerce</v>
      </c>
      <c r="R56" s="112" t="str">
        <f>Données!BU1</f>
        <v>Services</v>
      </c>
      <c r="S56" s="112" t="str">
        <f>Données!BV1</f>
        <v>Transports et entreposage</v>
      </c>
      <c r="T56" s="112" t="str">
        <f>Données!BW1</f>
        <v>Hébergement et restauration</v>
      </c>
      <c r="U56" s="112" t="str">
        <f>Données!BX1</f>
        <v>Information et communication</v>
      </c>
      <c r="V56" s="112" t="str">
        <f>Données!BY1</f>
        <v>Activités financières et d'assurance</v>
      </c>
      <c r="W56" s="112" t="str">
        <f>Données!BZ1</f>
        <v>Activités immobilières</v>
      </c>
      <c r="X56" s="112" t="str">
        <f>Données!CA1</f>
        <v>Services scien., tech., adm. et soutien</v>
      </c>
      <c r="Y56" s="112" t="str">
        <f>Données!CB1</f>
        <v>Administration publique, enseignement</v>
      </c>
      <c r="Z56" s="112" t="str">
        <f>Données!CC1</f>
        <v>Santé humaine et action sociale</v>
      </c>
      <c r="AA56" s="112" t="str">
        <f>Données!CD1</f>
        <v>Autres activités de services</v>
      </c>
    </row>
    <row r="57" spans="1:27" ht="12.75" customHeight="1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M57" s="112" t="str">
        <f>Données!B2</f>
        <v>France Métropolitaine</v>
      </c>
      <c r="N57" s="112">
        <f>Données!BQ2</f>
        <v>233405</v>
      </c>
      <c r="O57" s="112">
        <f>Données!BR2</f>
        <v>202904</v>
      </c>
      <c r="P57" s="112">
        <f>Données!BS2</f>
        <v>141888</v>
      </c>
      <c r="Q57" s="112">
        <f>Données!BT2</f>
        <v>293756</v>
      </c>
      <c r="R57" s="112">
        <f>Données!BU2</f>
        <v>1473924</v>
      </c>
      <c r="S57" s="112">
        <f>Données!BV2</f>
        <v>94100</v>
      </c>
      <c r="T57" s="112">
        <f>Données!BW2</f>
        <v>286642</v>
      </c>
      <c r="U57" s="112">
        <f>Données!BX2</f>
        <v>87113</v>
      </c>
      <c r="V57" s="112">
        <f>Données!BY2</f>
        <v>42430</v>
      </c>
      <c r="W57" s="112">
        <f>Données!BZ2</f>
        <v>23799</v>
      </c>
      <c r="X57" s="112">
        <f>Données!CA2</f>
        <v>332835</v>
      </c>
      <c r="Y57" s="112">
        <f>Données!CB2</f>
        <v>148376</v>
      </c>
      <c r="Z57" s="112">
        <f>Données!CC2</f>
        <v>262656</v>
      </c>
      <c r="AA57" s="112">
        <f>Données!CD2</f>
        <v>195973</v>
      </c>
    </row>
    <row r="58" spans="1:27" ht="15" customHeight="1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M58" s="112" t="str">
        <f>Données!B3</f>
        <v xml:space="preserve">Ile-de-France </v>
      </c>
      <c r="N58" s="112">
        <f>Données!BQ3</f>
        <v>5425.4231304423192</v>
      </c>
      <c r="O58" s="112">
        <f>Données!BR3</f>
        <v>13497.431579391245</v>
      </c>
      <c r="P58" s="112">
        <f>Données!BS3</f>
        <v>26484.996131912747</v>
      </c>
      <c r="Q58" s="112">
        <f>Données!BT3</f>
        <v>53813.574671817434</v>
      </c>
      <c r="R58" s="112">
        <f>Données!BU3</f>
        <v>319009.33774159296</v>
      </c>
      <c r="S58" s="112">
        <f>Données!BV3</f>
        <v>21074.289591339177</v>
      </c>
      <c r="T58" s="112">
        <f>Données!BW3</f>
        <v>39300.835528726879</v>
      </c>
      <c r="U58" s="112">
        <f>Données!BX3</f>
        <v>46668.500108502805</v>
      </c>
      <c r="V58" s="112">
        <f>Données!BY3</f>
        <v>14635.64202706273</v>
      </c>
      <c r="W58" s="112">
        <f>Données!BZ3</f>
        <v>6076.7776948313722</v>
      </c>
      <c r="X58" s="112">
        <f>Données!CA3</f>
        <v>91765.697416973737</v>
      </c>
      <c r="Y58" s="112">
        <f>Données!CB3</f>
        <v>22040.733477603848</v>
      </c>
      <c r="Z58" s="112">
        <f>Données!CC3</f>
        <v>40892.634622825499</v>
      </c>
      <c r="AA58" s="112">
        <f>Données!CD3</f>
        <v>36554.227273727105</v>
      </c>
    </row>
    <row r="59" spans="1:27" ht="15" customHeight="1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M59" s="112">
        <f>Données!B4</f>
        <v>0</v>
      </c>
      <c r="N59" s="112">
        <f>Données!BQ4</f>
        <v>0</v>
      </c>
      <c r="O59" s="112">
        <f>Données!BR4</f>
        <v>0</v>
      </c>
      <c r="P59" s="112">
        <f>Données!BS4</f>
        <v>0</v>
      </c>
      <c r="Q59" s="112">
        <f>Données!BT4</f>
        <v>0</v>
      </c>
      <c r="R59" s="112">
        <f>Données!BU4</f>
        <v>0</v>
      </c>
      <c r="S59" s="112">
        <f>Données!BV4</f>
        <v>0</v>
      </c>
      <c r="T59" s="112">
        <f>Données!BW4</f>
        <v>0</v>
      </c>
      <c r="U59" s="112">
        <f>Données!BX4</f>
        <v>0</v>
      </c>
      <c r="V59" s="112">
        <f>Données!BY4</f>
        <v>0</v>
      </c>
      <c r="W59" s="112">
        <f>Données!BZ4</f>
        <v>0</v>
      </c>
      <c r="X59" s="112">
        <f>Données!CA4</f>
        <v>0</v>
      </c>
      <c r="Y59" s="112">
        <f>Données!CB4</f>
        <v>0</v>
      </c>
      <c r="Z59" s="112">
        <f>Données!CC4</f>
        <v>0</v>
      </c>
      <c r="AA59" s="112">
        <f>Données!CD4</f>
        <v>0</v>
      </c>
    </row>
    <row r="60" spans="1:27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M60" s="112" t="str">
        <f>Données!B5</f>
        <v>Departement :</v>
      </c>
      <c r="N60" s="112">
        <f>Données!BQ5</f>
        <v>0</v>
      </c>
      <c r="O60" s="112">
        <f>Données!BR5</f>
        <v>0</v>
      </c>
      <c r="P60" s="112">
        <f>Données!BS5</f>
        <v>0</v>
      </c>
      <c r="Q60" s="112">
        <f>Données!BT5</f>
        <v>0</v>
      </c>
      <c r="R60" s="112">
        <f>Données!BU5</f>
        <v>0</v>
      </c>
      <c r="S60" s="112">
        <f>Données!BV5</f>
        <v>0</v>
      </c>
      <c r="T60" s="112">
        <f>Données!BW5</f>
        <v>0</v>
      </c>
      <c r="U60" s="112">
        <f>Données!BX5</f>
        <v>0</v>
      </c>
      <c r="V60" s="112">
        <f>Données!BY5</f>
        <v>0</v>
      </c>
      <c r="W60" s="112">
        <f>Données!BZ5</f>
        <v>0</v>
      </c>
      <c r="X60" s="112">
        <f>Données!CA5</f>
        <v>0</v>
      </c>
      <c r="Y60" s="112">
        <f>Données!CB5</f>
        <v>0</v>
      </c>
      <c r="Z60" s="112">
        <f>Données!CC5</f>
        <v>0</v>
      </c>
      <c r="AA60" s="112">
        <f>Données!CD5</f>
        <v>0</v>
      </c>
    </row>
    <row r="61" spans="1:27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M61" s="112" t="str">
        <f>Données!B6</f>
        <v>Paris</v>
      </c>
      <c r="N61" s="112">
        <f>Données!BQ6</f>
        <v>1084.0877490265868</v>
      </c>
      <c r="O61" s="112">
        <f>Données!BR6</f>
        <v>2246.6997769607451</v>
      </c>
      <c r="P61" s="112">
        <f>Données!BS6</f>
        <v>3868.2425195430105</v>
      </c>
      <c r="Q61" s="112">
        <f>Données!BT6</f>
        <v>17248.435902929756</v>
      </c>
      <c r="R61" s="112">
        <f>Données!BU6</f>
        <v>118215.07204435756</v>
      </c>
      <c r="S61" s="112">
        <f>Données!BV6</f>
        <v>3077.0192779974209</v>
      </c>
      <c r="T61" s="112">
        <f>Données!BW6</f>
        <v>19692.158775669312</v>
      </c>
      <c r="U61" s="112">
        <f>Données!BX6</f>
        <v>21648.71430902883</v>
      </c>
      <c r="V61" s="112">
        <f>Données!BY6</f>
        <v>5738.1929771436216</v>
      </c>
      <c r="W61" s="112">
        <f>Données!BZ6</f>
        <v>2460.6420548396836</v>
      </c>
      <c r="X61" s="112">
        <f>Données!CA6</f>
        <v>31152.49017729659</v>
      </c>
      <c r="Y61" s="112">
        <f>Données!CB6</f>
        <v>6275.7048254655865</v>
      </c>
      <c r="Z61" s="112">
        <f>Données!CC6</f>
        <v>11917.202539609254</v>
      </c>
      <c r="AA61" s="112">
        <f>Données!CD6</f>
        <v>16252.947107307384</v>
      </c>
    </row>
    <row r="62" spans="1:27" ht="15" customHeight="1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M62" s="112" t="str">
        <f>Données!B7</f>
        <v>Seine Et Marne</v>
      </c>
      <c r="N62" s="112">
        <f>Données!BQ7</f>
        <v>1100.433347476283</v>
      </c>
      <c r="O62" s="112">
        <f>Données!BR7</f>
        <v>1837.5816969232535</v>
      </c>
      <c r="P62" s="112">
        <f>Données!BS7</f>
        <v>2949.9793505610437</v>
      </c>
      <c r="Q62" s="112">
        <f>Données!BT7</f>
        <v>6373.2013391697728</v>
      </c>
      <c r="R62" s="112">
        <f>Données!BU7</f>
        <v>20170.883469531545</v>
      </c>
      <c r="S62" s="112">
        <f>Données!BV7</f>
        <v>4028.17356153941</v>
      </c>
      <c r="T62" s="112">
        <f>Données!BW7</f>
        <v>3175.459844224687</v>
      </c>
      <c r="U62" s="112">
        <f>Données!BX7</f>
        <v>629.92116666282391</v>
      </c>
      <c r="V62" s="112">
        <f>Données!BY7</f>
        <v>737.45981548628538</v>
      </c>
      <c r="W62" s="112">
        <f>Données!BZ7</f>
        <v>586.2074645256597</v>
      </c>
      <c r="X62" s="112">
        <f>Données!CA7</f>
        <v>4070.5511485204206</v>
      </c>
      <c r="Y62" s="112">
        <f>Données!CB7</f>
        <v>1980.7981598323149</v>
      </c>
      <c r="Z62" s="112">
        <f>Données!CC7</f>
        <v>3229.2452661244788</v>
      </c>
      <c r="AA62" s="112">
        <f>Données!CD7</f>
        <v>1733.0670426154661</v>
      </c>
    </row>
    <row r="63" spans="1:27" ht="56.25" x14ac:dyDescent="0.2">
      <c r="A63" s="108" t="s">
        <v>210</v>
      </c>
      <c r="B63" s="101" t="s">
        <v>120</v>
      </c>
      <c r="C63" s="102" t="s">
        <v>213</v>
      </c>
      <c r="D63" s="82"/>
      <c r="E63" s="82"/>
      <c r="F63" s="82"/>
      <c r="G63" s="82"/>
      <c r="H63" s="82"/>
      <c r="I63" s="82"/>
      <c r="J63" s="82"/>
      <c r="M63" s="112" t="str">
        <f>Données!B8</f>
        <v>Yvelines</v>
      </c>
      <c r="N63" s="112">
        <f>Données!BQ8</f>
        <v>841.25758195135074</v>
      </c>
      <c r="O63" s="112">
        <f>Données!BR8</f>
        <v>1936.5015223910746</v>
      </c>
      <c r="P63" s="112">
        <f>Données!BS8</f>
        <v>2529.091952340128</v>
      </c>
      <c r="Q63" s="112">
        <f>Données!BT8</f>
        <v>5721.3239850008958</v>
      </c>
      <c r="R63" s="112">
        <f>Données!BU8</f>
        <v>29792.586374278559</v>
      </c>
      <c r="S63" s="112">
        <f>Données!BV8</f>
        <v>1407.5936477201421</v>
      </c>
      <c r="T63" s="112">
        <f>Données!BW8</f>
        <v>2544.7076399737421</v>
      </c>
      <c r="U63" s="112">
        <f>Données!BX8</f>
        <v>2272.6837519581718</v>
      </c>
      <c r="V63" s="112">
        <f>Données!BY8</f>
        <v>790.58230550926783</v>
      </c>
      <c r="W63" s="112">
        <f>Données!BZ8</f>
        <v>495.96986433006612</v>
      </c>
      <c r="X63" s="112">
        <f>Données!CA8</f>
        <v>12542.886955901346</v>
      </c>
      <c r="Y63" s="112">
        <f>Données!CB8</f>
        <v>2261.7512940793936</v>
      </c>
      <c r="Z63" s="112">
        <f>Données!CC8</f>
        <v>5218.5210195707123</v>
      </c>
      <c r="AA63" s="112">
        <f>Données!CD8</f>
        <v>2257.889895235709</v>
      </c>
    </row>
    <row r="64" spans="1:27" ht="15" customHeight="1" x14ac:dyDescent="0.2">
      <c r="A64" s="85" t="s">
        <v>212</v>
      </c>
      <c r="B64" s="88">
        <f>N100</f>
        <v>470.7426669891347</v>
      </c>
      <c r="C64" s="89">
        <f t="shared" ref="C64:C69" si="1">B64/SUM($B$64:$B$68)</f>
        <v>1.553902185879941E-2</v>
      </c>
      <c r="D64" s="82"/>
      <c r="E64" s="82"/>
      <c r="F64" s="82"/>
      <c r="G64" s="82"/>
      <c r="H64" s="82"/>
      <c r="I64" s="81"/>
      <c r="J64" s="82"/>
      <c r="M64" s="112" t="str">
        <f>Données!B9</f>
        <v>Essonne</v>
      </c>
      <c r="N64" s="112">
        <f>Données!BQ9</f>
        <v>470.7426669891347</v>
      </c>
      <c r="O64" s="112">
        <f>Données!BR9</f>
        <v>1825.8693356395659</v>
      </c>
      <c r="P64" s="112">
        <f>Données!BS9</f>
        <v>2964.3060209264831</v>
      </c>
      <c r="Q64" s="112">
        <f>Données!BT9</f>
        <v>3993.8863076846155</v>
      </c>
      <c r="R64" s="112">
        <f>Données!BU9</f>
        <v>21039.423405016543</v>
      </c>
      <c r="S64" s="112">
        <f>Données!BV9</f>
        <v>2477.158449457902</v>
      </c>
      <c r="T64" s="112">
        <f>Données!BW9</f>
        <v>2933.6280650539229</v>
      </c>
      <c r="U64" s="112">
        <f>Données!BX9</f>
        <v>855.78560058661037</v>
      </c>
      <c r="V64" s="112">
        <f>Données!BY9</f>
        <v>373.62639046436124</v>
      </c>
      <c r="W64" s="112">
        <f>Données!BZ9</f>
        <v>292.26587149957828</v>
      </c>
      <c r="X64" s="112">
        <f>Données!CA9</f>
        <v>6306.5140954828203</v>
      </c>
      <c r="Y64" s="112">
        <f>Données!CB9</f>
        <v>1912.5038048838419</v>
      </c>
      <c r="Z64" s="112">
        <f>Données!CC9</f>
        <v>3780.4023055466869</v>
      </c>
      <c r="AA64" s="112">
        <f>Données!CD9</f>
        <v>2107.5388220408145</v>
      </c>
    </row>
    <row r="65" spans="1:27" ht="15" customHeight="1" x14ac:dyDescent="0.2">
      <c r="A65" s="85" t="s">
        <v>57</v>
      </c>
      <c r="B65" s="87">
        <f>N101</f>
        <v>1825.8693356395659</v>
      </c>
      <c r="C65" s="89">
        <f t="shared" si="1"/>
        <v>6.0271195936589354E-2</v>
      </c>
      <c r="D65" s="81"/>
      <c r="E65" s="81"/>
      <c r="F65" s="81"/>
      <c r="G65" s="81"/>
      <c r="H65" s="81"/>
      <c r="I65" s="81"/>
      <c r="J65" s="82"/>
      <c r="M65" s="112" t="str">
        <f>Données!B10</f>
        <v>Hauts de Seine</v>
      </c>
      <c r="N65" s="112">
        <f>Données!BQ10</f>
        <v>756.7184108112026</v>
      </c>
      <c r="O65" s="112">
        <f>Données!BR10</f>
        <v>2180.6006359773755</v>
      </c>
      <c r="P65" s="112">
        <f>Données!BS10</f>
        <v>3321.4171221191737</v>
      </c>
      <c r="Q65" s="112">
        <f>Données!BT10</f>
        <v>7350.094577995309</v>
      </c>
      <c r="R65" s="112">
        <f>Données!BU10</f>
        <v>63712.429997925865</v>
      </c>
      <c r="S65" s="112">
        <f>Données!BV10</f>
        <v>2121.4190513041217</v>
      </c>
      <c r="T65" s="112">
        <f>Données!BW10</f>
        <v>4528.5465126422332</v>
      </c>
      <c r="U65" s="112">
        <f>Données!BX10</f>
        <v>16326.434820236318</v>
      </c>
      <c r="V65" s="112">
        <f>Données!BY10</f>
        <v>4587.2785728291938</v>
      </c>
      <c r="W65" s="112">
        <f>Données!BZ10</f>
        <v>851.65646633707217</v>
      </c>
      <c r="X65" s="112">
        <f>Données!CA10</f>
        <v>21595.8130428734</v>
      </c>
      <c r="Y65" s="112">
        <f>Données!CB10</f>
        <v>2969.6058786825815</v>
      </c>
      <c r="Z65" s="112">
        <f>Données!CC10</f>
        <v>6868.2380230707367</v>
      </c>
      <c r="AA65" s="112">
        <f>Données!CD10</f>
        <v>3863.4376299502028</v>
      </c>
    </row>
    <row r="66" spans="1:27" ht="15" customHeight="1" x14ac:dyDescent="0.2">
      <c r="A66" s="85" t="s">
        <v>58</v>
      </c>
      <c r="B66" s="88">
        <f>N102</f>
        <v>2964.3060209264831</v>
      </c>
      <c r="C66" s="89">
        <f t="shared" si="1"/>
        <v>9.7850522770672285E-2</v>
      </c>
      <c r="D66" s="81"/>
      <c r="E66" s="81"/>
      <c r="F66" s="81"/>
      <c r="G66" s="81"/>
      <c r="H66" s="81"/>
      <c r="I66" s="81"/>
      <c r="J66" s="82"/>
      <c r="M66" s="112" t="str">
        <f>Données!B11</f>
        <v>Seine Saint denis</v>
      </c>
      <c r="N66" s="112">
        <f>Données!BQ11</f>
        <v>422.2701184078856</v>
      </c>
      <c r="O66" s="112">
        <f>Données!BR11</f>
        <v>1125.0816431977717</v>
      </c>
      <c r="P66" s="112">
        <f>Données!BS11</f>
        <v>4526.0423318785315</v>
      </c>
      <c r="Q66" s="112">
        <f>Données!BT11</f>
        <v>4297.697287597397</v>
      </c>
      <c r="R66" s="112">
        <f>Données!BU11</f>
        <v>26073.381946763919</v>
      </c>
      <c r="S66" s="112">
        <f>Données!BV11</f>
        <v>3484.2919786633511</v>
      </c>
      <c r="T66" s="112">
        <f>Données!BW11</f>
        <v>2698.4447879352947</v>
      </c>
      <c r="U66" s="112">
        <f>Données!BX11</f>
        <v>2264.9492609019658</v>
      </c>
      <c r="V66" s="112">
        <f>Données!BY11</f>
        <v>586.8229274083036</v>
      </c>
      <c r="W66" s="112">
        <f>Données!BZ11</f>
        <v>491.14647258212062</v>
      </c>
      <c r="X66" s="112">
        <f>Données!CA11</f>
        <v>5784.267057370208</v>
      </c>
      <c r="Y66" s="112">
        <f>Données!CB11</f>
        <v>2490.5390255034208</v>
      </c>
      <c r="Z66" s="112">
        <f>Données!CC11</f>
        <v>3339.5778561616235</v>
      </c>
      <c r="AA66" s="112">
        <f>Données!CD11</f>
        <v>4933.3425802376287</v>
      </c>
    </row>
    <row r="67" spans="1:27" ht="15" customHeight="1" thickBot="1" x14ac:dyDescent="0.25">
      <c r="A67" s="93" t="s">
        <v>59</v>
      </c>
      <c r="B67" s="90">
        <f>N103</f>
        <v>3993.8863076846155</v>
      </c>
      <c r="C67" s="91">
        <f t="shared" si="1"/>
        <v>0.13183654465318173</v>
      </c>
      <c r="D67" s="82"/>
      <c r="E67" s="81"/>
      <c r="F67" s="81"/>
      <c r="G67" s="81"/>
      <c r="H67" s="81"/>
      <c r="I67" s="81"/>
      <c r="J67" s="82"/>
      <c r="M67" s="112" t="str">
        <f>Données!B12</f>
        <v>Val de Marne</v>
      </c>
      <c r="N67" s="112">
        <f>Données!BQ12</f>
        <v>168.04325016605847</v>
      </c>
      <c r="O67" s="112">
        <f>Données!BR12</f>
        <v>977.7083478838008</v>
      </c>
      <c r="P67" s="112">
        <f>Données!BS12</f>
        <v>3085.1934606449568</v>
      </c>
      <c r="Q67" s="112">
        <f>Données!BT12</f>
        <v>5051.4540162716876</v>
      </c>
      <c r="R67" s="112">
        <f>Données!BU12</f>
        <v>23629.438050523131</v>
      </c>
      <c r="S67" s="112">
        <f>Données!BV12</f>
        <v>2187.2119462052433</v>
      </c>
      <c r="T67" s="112">
        <f>Données!BW12</f>
        <v>1952.5346894840093</v>
      </c>
      <c r="U67" s="112">
        <f>Données!BX12</f>
        <v>1732.4053414673162</v>
      </c>
      <c r="V67" s="112">
        <f>Données!BY12</f>
        <v>1344.0669059148192</v>
      </c>
      <c r="W67" s="112">
        <f>Données!BZ12</f>
        <v>635.6148963884217</v>
      </c>
      <c r="X67" s="112">
        <f>Données!CA12</f>
        <v>6578.7120523344593</v>
      </c>
      <c r="Y67" s="112">
        <f>Données!CB12</f>
        <v>2264.4465930503925</v>
      </c>
      <c r="Z67" s="112">
        <f>Données!CC12</f>
        <v>3512.138877741645</v>
      </c>
      <c r="AA67" s="112">
        <f>Données!CD12</f>
        <v>3422.3067479368283</v>
      </c>
    </row>
    <row r="68" spans="1:27" ht="13.5" thickBot="1" x14ac:dyDescent="0.25">
      <c r="A68" s="94" t="s">
        <v>71</v>
      </c>
      <c r="B68" s="95">
        <f>N104</f>
        <v>21039.423405016543</v>
      </c>
      <c r="C68" s="96">
        <f t="shared" si="1"/>
        <v>0.6945027147807572</v>
      </c>
      <c r="D68" s="82"/>
      <c r="E68" s="81"/>
      <c r="F68" s="81"/>
      <c r="G68" s="81"/>
      <c r="H68" s="81"/>
      <c r="I68" s="81"/>
      <c r="J68" s="82"/>
      <c r="M68" s="112" t="str">
        <f>Données!B13</f>
        <v>Val d'Oise</v>
      </c>
      <c r="N68" s="112">
        <f>Données!BQ13</f>
        <v>581.87000561381558</v>
      </c>
      <c r="O68" s="112">
        <f>Données!BR13</f>
        <v>1367.3886204176576</v>
      </c>
      <c r="P68" s="112">
        <f>Données!BS13</f>
        <v>3240.7233738994191</v>
      </c>
      <c r="Q68" s="112">
        <f>Données!BT13</f>
        <v>3777.4812551679979</v>
      </c>
      <c r="R68" s="112">
        <f>Données!BU13</f>
        <v>16376.122453195923</v>
      </c>
      <c r="S68" s="112">
        <f>Données!BV13</f>
        <v>2291.4216784515852</v>
      </c>
      <c r="T68" s="112">
        <f>Données!BW13</f>
        <v>1775.3552137436786</v>
      </c>
      <c r="U68" s="112">
        <f>Données!BX13</f>
        <v>937.60585766076565</v>
      </c>
      <c r="V68" s="112">
        <f>Données!BY13</f>
        <v>477.61213230687906</v>
      </c>
      <c r="W68" s="112">
        <f>Données!BZ13</f>
        <v>263.27460432876956</v>
      </c>
      <c r="X68" s="112">
        <f>Données!CA13</f>
        <v>3734.4628871944951</v>
      </c>
      <c r="Y68" s="112">
        <f>Données!CB13</f>
        <v>1885.3838961063145</v>
      </c>
      <c r="Z68" s="112">
        <f>Données!CC13</f>
        <v>3027.3087350003652</v>
      </c>
      <c r="AA68" s="112">
        <f>Données!CD13</f>
        <v>1983.6974484030738</v>
      </c>
    </row>
    <row r="69" spans="1:27" x14ac:dyDescent="0.2">
      <c r="A69" s="86" t="s">
        <v>208</v>
      </c>
      <c r="B69" s="87">
        <f>SUM(B64:B68)</f>
        <v>30294.227736256344</v>
      </c>
      <c r="C69" s="92">
        <f t="shared" si="1"/>
        <v>1</v>
      </c>
      <c r="D69" s="82"/>
      <c r="E69" s="81"/>
      <c r="F69" s="81"/>
      <c r="G69" s="81"/>
      <c r="H69" s="81"/>
      <c r="I69" s="81"/>
      <c r="J69" s="82"/>
      <c r="M69" s="112">
        <f>Données!B14</f>
        <v>0</v>
      </c>
      <c r="N69" s="112">
        <f>Données!BQ14</f>
        <v>0</v>
      </c>
      <c r="O69" s="112">
        <f>Données!BR14</f>
        <v>0</v>
      </c>
      <c r="P69" s="112">
        <f>Données!BS14</f>
        <v>0</v>
      </c>
      <c r="Q69" s="112">
        <f>Données!BT14</f>
        <v>0</v>
      </c>
      <c r="R69" s="112">
        <f>Données!BU14</f>
        <v>0</v>
      </c>
      <c r="S69" s="112">
        <f>Données!BV14</f>
        <v>0</v>
      </c>
      <c r="T69" s="112">
        <f>Données!BW14</f>
        <v>0</v>
      </c>
      <c r="U69" s="112">
        <f>Données!BX14</f>
        <v>0</v>
      </c>
      <c r="V69" s="112">
        <f>Données!BY14</f>
        <v>0</v>
      </c>
      <c r="W69" s="112">
        <f>Données!BZ14</f>
        <v>0</v>
      </c>
      <c r="X69" s="112">
        <f>Données!CA14</f>
        <v>0</v>
      </c>
      <c r="Y69" s="112">
        <f>Données!CB14</f>
        <v>0</v>
      </c>
      <c r="Z69" s="112">
        <f>Données!CC14</f>
        <v>0</v>
      </c>
      <c r="AA69" s="112">
        <f>Données!CD14</f>
        <v>0</v>
      </c>
    </row>
    <row r="70" spans="1:27" x14ac:dyDescent="0.2">
      <c r="A70" s="83" t="s">
        <v>211</v>
      </c>
      <c r="B70" s="82"/>
      <c r="C70" s="82"/>
      <c r="D70" s="82"/>
      <c r="E70" s="81"/>
      <c r="F70" s="81"/>
      <c r="G70" s="81"/>
      <c r="H70" s="81"/>
      <c r="I70" s="81"/>
      <c r="J70" s="82"/>
      <c r="M70" s="112" t="str">
        <f>Données!B15</f>
        <v xml:space="preserve">Bassin : </v>
      </c>
      <c r="N70" s="112">
        <f>Données!BQ15</f>
        <v>0</v>
      </c>
      <c r="O70" s="112">
        <f>Données!BR15</f>
        <v>0</v>
      </c>
      <c r="P70" s="112">
        <f>Données!BS15</f>
        <v>0</v>
      </c>
      <c r="Q70" s="112">
        <f>Données!BT15</f>
        <v>0</v>
      </c>
      <c r="R70" s="112">
        <f>Données!BU15</f>
        <v>0</v>
      </c>
      <c r="S70" s="112">
        <f>Données!BV15</f>
        <v>0</v>
      </c>
      <c r="T70" s="112">
        <f>Données!BW15</f>
        <v>0</v>
      </c>
      <c r="U70" s="112">
        <f>Données!BX15</f>
        <v>0</v>
      </c>
      <c r="V70" s="112">
        <f>Données!BY15</f>
        <v>0</v>
      </c>
      <c r="W70" s="112">
        <f>Données!BZ15</f>
        <v>0</v>
      </c>
      <c r="X70" s="112">
        <f>Données!CA15</f>
        <v>0</v>
      </c>
      <c r="Y70" s="112">
        <f>Données!CB15</f>
        <v>0</v>
      </c>
      <c r="Z70" s="112">
        <f>Données!CC15</f>
        <v>0</v>
      </c>
      <c r="AA70" s="112">
        <f>Données!CD15</f>
        <v>0</v>
      </c>
    </row>
    <row r="71" spans="1:27" x14ac:dyDescent="0.2">
      <c r="A71" s="82"/>
      <c r="B71" s="82"/>
      <c r="C71" s="82"/>
      <c r="D71" s="82"/>
      <c r="E71" s="81"/>
      <c r="F71" s="81"/>
      <c r="G71" s="81"/>
      <c r="H71" s="81"/>
      <c r="I71" s="81"/>
      <c r="J71" s="82"/>
      <c r="M71" s="112" t="str">
        <f>Données!B16</f>
        <v>T1 Paris</v>
      </c>
      <c r="N71" s="112">
        <f>Données!BQ16</f>
        <v>1084.0877490265871</v>
      </c>
      <c r="O71" s="112">
        <f>Données!BR16</f>
        <v>2246.6997769607442</v>
      </c>
      <c r="P71" s="112">
        <f>Données!BS16</f>
        <v>3868.2425195430105</v>
      </c>
      <c r="Q71" s="112">
        <f>Données!BT16</f>
        <v>17248.435902929741</v>
      </c>
      <c r="R71" s="112">
        <f>Données!BU16</f>
        <v>118215.07204435767</v>
      </c>
      <c r="S71" s="112">
        <f>Données!BV16</f>
        <v>3077.0192779974209</v>
      </c>
      <c r="T71" s="112">
        <f>Données!BW16</f>
        <v>19692.158775669312</v>
      </c>
      <c r="U71" s="112">
        <f>Données!BX16</f>
        <v>21648.71430902883</v>
      </c>
      <c r="V71" s="112">
        <f>Données!BY16</f>
        <v>5738.1929771436216</v>
      </c>
      <c r="W71" s="112">
        <f>Données!BZ16</f>
        <v>2460.6420548396836</v>
      </c>
      <c r="X71" s="112">
        <f>Données!CA16</f>
        <v>31152.49017729659</v>
      </c>
      <c r="Y71" s="112">
        <f>Données!CB16</f>
        <v>6275.7048254655865</v>
      </c>
      <c r="Z71" s="112">
        <f>Données!CC16</f>
        <v>11917.202539609254</v>
      </c>
      <c r="AA71" s="112">
        <f>Données!CD16</f>
        <v>16252.947107307384</v>
      </c>
    </row>
    <row r="72" spans="1:27" x14ac:dyDescent="0.2">
      <c r="A72" s="82"/>
      <c r="B72" s="82"/>
      <c r="C72" s="82"/>
      <c r="D72" s="81"/>
      <c r="E72" s="81"/>
      <c r="F72" s="81"/>
      <c r="G72" s="81"/>
      <c r="H72" s="81"/>
      <c r="I72" s="81"/>
      <c r="J72" s="82"/>
      <c r="M72" s="112" t="str">
        <f>Données!B17</f>
        <v>Sud 77</v>
      </c>
      <c r="N72" s="112">
        <f>Données!BQ17</f>
        <v>197.7581647857138</v>
      </c>
      <c r="O72" s="112">
        <f>Données!BR17</f>
        <v>277.67161128646518</v>
      </c>
      <c r="P72" s="112">
        <f>Données!BS17</f>
        <v>378.58518426064865</v>
      </c>
      <c r="Q72" s="112">
        <f>Données!BT17</f>
        <v>654.27812773055382</v>
      </c>
      <c r="R72" s="112">
        <f>Données!BU17</f>
        <v>1737.6317498245417</v>
      </c>
      <c r="S72" s="112">
        <f>Données!BV17</f>
        <v>97.088030241413009</v>
      </c>
      <c r="T72" s="112">
        <f>Données!BW17</f>
        <v>319.11272652891779</v>
      </c>
      <c r="U72" s="112">
        <f>Données!BX17</f>
        <v>76.276730026709842</v>
      </c>
      <c r="V72" s="112">
        <f>Données!BY17</f>
        <v>77.996267177077343</v>
      </c>
      <c r="W72" s="112">
        <f>Données!BZ17</f>
        <v>137.27972199697049</v>
      </c>
      <c r="X72" s="112">
        <f>Données!CA17</f>
        <v>213.74156327193572</v>
      </c>
      <c r="Y72" s="112">
        <f>Données!CB17</f>
        <v>144.7683975170946</v>
      </c>
      <c r="Z72" s="112">
        <f>Données!CC17</f>
        <v>451.73193161611005</v>
      </c>
      <c r="AA72" s="112">
        <f>Données!CD17</f>
        <v>219.63638144831296</v>
      </c>
    </row>
    <row r="73" spans="1:27" x14ac:dyDescent="0.2">
      <c r="A73" s="82"/>
      <c r="B73" s="82"/>
      <c r="C73" s="82"/>
      <c r="D73" s="81"/>
      <c r="E73" s="81"/>
      <c r="F73" s="81"/>
      <c r="G73" s="81"/>
      <c r="H73" s="81"/>
      <c r="I73" s="81"/>
      <c r="J73" s="82"/>
      <c r="M73" s="112" t="str">
        <f>Données!B18</f>
        <v>Nord Est 77</v>
      </c>
      <c r="N73" s="112">
        <f>Données!BQ18</f>
        <v>280.21582042237549</v>
      </c>
      <c r="O73" s="112">
        <f>Données!BR18</f>
        <v>200.20464442179906</v>
      </c>
      <c r="P73" s="112">
        <f>Données!BS18</f>
        <v>312.00533321606696</v>
      </c>
      <c r="Q73" s="112">
        <f>Données!BT18</f>
        <v>581.79013793985678</v>
      </c>
      <c r="R73" s="112">
        <f>Données!BU18</f>
        <v>1749.817529066278</v>
      </c>
      <c r="S73" s="112">
        <f>Données!BV18</f>
        <v>336.56502926641633</v>
      </c>
      <c r="T73" s="112">
        <f>Données!BW18</f>
        <v>199.46777579593521</v>
      </c>
      <c r="U73" s="112">
        <f>Données!BX18</f>
        <v>6.6273873515760009</v>
      </c>
      <c r="V73" s="112">
        <f>Données!BY18</f>
        <v>71.548898158616026</v>
      </c>
      <c r="W73" s="112">
        <f>Données!BZ18</f>
        <v>33.88751586901892</v>
      </c>
      <c r="X73" s="112">
        <f>Données!CA18</f>
        <v>353.43458492188307</v>
      </c>
      <c r="Y73" s="112">
        <f>Données!CB18</f>
        <v>206.29431964219179</v>
      </c>
      <c r="Z73" s="112">
        <f>Données!CC18</f>
        <v>370.88641407787418</v>
      </c>
      <c r="AA73" s="112">
        <f>Données!CD18</f>
        <v>171.10560398276658</v>
      </c>
    </row>
    <row r="74" spans="1:27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M74" s="112" t="str">
        <f>Données!B19</f>
        <v>Centre 77</v>
      </c>
      <c r="N74" s="112">
        <f>Données!BQ19</f>
        <v>103.43290949575356</v>
      </c>
      <c r="O74" s="112">
        <f>Données!BR19</f>
        <v>221.82900297408952</v>
      </c>
      <c r="P74" s="112">
        <f>Données!BS19</f>
        <v>271.76410304867863</v>
      </c>
      <c r="Q74" s="112">
        <f>Données!BT19</f>
        <v>729.51986301732882</v>
      </c>
      <c r="R74" s="112">
        <f>Données!BU19</f>
        <v>2498.1002439457275</v>
      </c>
      <c r="S74" s="112">
        <f>Données!BV19</f>
        <v>219.54519970534946</v>
      </c>
      <c r="T74" s="112">
        <f>Données!BW19</f>
        <v>388.94649110297127</v>
      </c>
      <c r="U74" s="112">
        <f>Données!BX19</f>
        <v>112.6649608356748</v>
      </c>
      <c r="V74" s="112">
        <f>Données!BY19</f>
        <v>82.983972204284825</v>
      </c>
      <c r="W74" s="112">
        <f>Données!BZ19</f>
        <v>73.511356171163555</v>
      </c>
      <c r="X74" s="112">
        <f>Données!CA19</f>
        <v>310.40007069922638</v>
      </c>
      <c r="Y74" s="112">
        <f>Données!CB19</f>
        <v>438.18226181858762</v>
      </c>
      <c r="Z74" s="112">
        <f>Données!CC19</f>
        <v>695.02560250661088</v>
      </c>
      <c r="AA74" s="112">
        <f>Données!CD19</f>
        <v>176.84032890185892</v>
      </c>
    </row>
    <row r="75" spans="1:27" x14ac:dyDescent="0.2">
      <c r="A75" s="82"/>
      <c r="B75" s="82"/>
      <c r="C75" s="82"/>
      <c r="D75" s="82"/>
      <c r="E75" s="82"/>
      <c r="F75" s="82"/>
      <c r="G75" s="82"/>
      <c r="H75" s="82"/>
      <c r="I75" s="82"/>
      <c r="J75" s="82"/>
      <c r="M75" s="112" t="str">
        <f>Données!B20</f>
        <v>Est 77</v>
      </c>
      <c r="N75" s="112">
        <f>Données!BQ20</f>
        <v>375.04662036223135</v>
      </c>
      <c r="O75" s="112">
        <f>Données!BR20</f>
        <v>235.06475087198089</v>
      </c>
      <c r="P75" s="112">
        <f>Données!BS20</f>
        <v>292.97935854165769</v>
      </c>
      <c r="Q75" s="112">
        <f>Données!BT20</f>
        <v>373.86901481601416</v>
      </c>
      <c r="R75" s="112">
        <f>Données!BU20</f>
        <v>1724.5562648736247</v>
      </c>
      <c r="S75" s="112">
        <f>Données!BV20</f>
        <v>517.43034366534903</v>
      </c>
      <c r="T75" s="112">
        <f>Données!BW20</f>
        <v>195.68252264004127</v>
      </c>
      <c r="U75" s="112">
        <f>Données!BX20</f>
        <v>109.32628175158179</v>
      </c>
      <c r="V75" s="112">
        <f>Données!BY20</f>
        <v>14.096230691025387</v>
      </c>
      <c r="W75" s="112">
        <f>Données!BZ20</f>
        <v>7.954969717695298</v>
      </c>
      <c r="X75" s="112">
        <f>Données!CA20</f>
        <v>339.400007492231</v>
      </c>
      <c r="Y75" s="112">
        <f>Données!CB20</f>
        <v>74.148206973343349</v>
      </c>
      <c r="Z75" s="112">
        <f>Données!CC20</f>
        <v>296.25220875130435</v>
      </c>
      <c r="AA75" s="112">
        <f>Données!CD20</f>
        <v>170.26549319105317</v>
      </c>
    </row>
    <row r="76" spans="1:27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M76" s="112" t="str">
        <f>Données!B21</f>
        <v>Marne la Vallée</v>
      </c>
      <c r="N76" s="112">
        <f>Données!BQ21</f>
        <v>123.58929376767301</v>
      </c>
      <c r="O76" s="112">
        <f>Données!BR21</f>
        <v>751.67560090114216</v>
      </c>
      <c r="P76" s="112">
        <f>Données!BS21</f>
        <v>1321.7343452606983</v>
      </c>
      <c r="Q76" s="112">
        <f>Données!BT21</f>
        <v>2221.0093225841338</v>
      </c>
      <c r="R76" s="112">
        <f>Données!BU21</f>
        <v>7268.0052598599605</v>
      </c>
      <c r="S76" s="112">
        <f>Données!BV21</f>
        <v>710.38941029899308</v>
      </c>
      <c r="T76" s="112">
        <f>Données!BW21</f>
        <v>1575.6848206102159</v>
      </c>
      <c r="U76" s="112">
        <f>Données!BX21</f>
        <v>310.74187424051058</v>
      </c>
      <c r="V76" s="112">
        <f>Données!BY21</f>
        <v>205.52397466125305</v>
      </c>
      <c r="W76" s="112">
        <f>Données!BZ21</f>
        <v>212.07676383987169</v>
      </c>
      <c r="X76" s="112">
        <f>Données!CA21</f>
        <v>1423.8268332147366</v>
      </c>
      <c r="Y76" s="112">
        <f>Données!CB21</f>
        <v>817.18461391355379</v>
      </c>
      <c r="Z76" s="112">
        <f>Données!CC21</f>
        <v>1210.6296741202157</v>
      </c>
      <c r="AA76" s="112">
        <f>Données!CD21</f>
        <v>801.94729496060984</v>
      </c>
    </row>
    <row r="77" spans="1:27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M77" s="112" t="str">
        <f>Données!B22</f>
        <v>Porte Sud du Grand Paris</v>
      </c>
      <c r="N77" s="112">
        <f>Données!BQ22</f>
        <v>190.22682378807951</v>
      </c>
      <c r="O77" s="112">
        <f>Données!BR22</f>
        <v>638.95232726226368</v>
      </c>
      <c r="P77" s="112">
        <f>Données!BS22</f>
        <v>1390.0081291067065</v>
      </c>
      <c r="Q77" s="112">
        <f>Données!BT22</f>
        <v>2934.002357541247</v>
      </c>
      <c r="R77" s="112">
        <f>Données!BU22</f>
        <v>11357.416276467691</v>
      </c>
      <c r="S77" s="112">
        <f>Données!BV22</f>
        <v>2034.9808922850134</v>
      </c>
      <c r="T77" s="112">
        <f>Données!BW22</f>
        <v>1469.6994783757484</v>
      </c>
      <c r="U77" s="112">
        <f>Données!BX22</f>
        <v>169.17258742471398</v>
      </c>
      <c r="V77" s="112">
        <f>Données!BY22</f>
        <v>471.87281238157652</v>
      </c>
      <c r="W77" s="112">
        <f>Données!BZ22</f>
        <v>264.17937949900295</v>
      </c>
      <c r="X77" s="112">
        <f>Données!CA22</f>
        <v>2509.0002651076811</v>
      </c>
      <c r="Y77" s="112">
        <f>Données!CB22</f>
        <v>1212.8605605807263</v>
      </c>
      <c r="Z77" s="112">
        <f>Données!CC22</f>
        <v>2266.1524684484611</v>
      </c>
      <c r="AA77" s="112">
        <f>Données!CD22</f>
        <v>959.49783236476833</v>
      </c>
    </row>
    <row r="78" spans="1:27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M78" s="112" t="str">
        <f>Données!B23</f>
        <v>Roissy - Le Bourget</v>
      </c>
      <c r="N78" s="112">
        <f>Données!BQ23</f>
        <v>120.24584441800894</v>
      </c>
      <c r="O78" s="112">
        <f>Données!BR23</f>
        <v>561.22823495636521</v>
      </c>
      <c r="P78" s="112">
        <f>Données!BS23</f>
        <v>2015.7521453616428</v>
      </c>
      <c r="Q78" s="112">
        <f>Données!BT23</f>
        <v>2174.9451057802348</v>
      </c>
      <c r="R78" s="112">
        <f>Données!BU23</f>
        <v>12096.076424249361</v>
      </c>
      <c r="S78" s="112">
        <f>Données!BV23</f>
        <v>4311.592040650261</v>
      </c>
      <c r="T78" s="112">
        <f>Données!BW23</f>
        <v>1550.7604078389859</v>
      </c>
      <c r="U78" s="112">
        <f>Données!BX23</f>
        <v>422.8574570032406</v>
      </c>
      <c r="V78" s="112">
        <f>Données!BY23</f>
        <v>226.08914043778583</v>
      </c>
      <c r="W78" s="112">
        <f>Données!BZ23</f>
        <v>132.63221686257646</v>
      </c>
      <c r="X78" s="112">
        <f>Données!CA23</f>
        <v>2552.0818467667277</v>
      </c>
      <c r="Y78" s="112">
        <f>Données!CB23</f>
        <v>1002.1217926359815</v>
      </c>
      <c r="Z78" s="112">
        <f>Données!CC23</f>
        <v>1281.8043286530633</v>
      </c>
      <c r="AA78" s="112">
        <f>Données!CD23</f>
        <v>616.13719340073715</v>
      </c>
    </row>
    <row r="79" spans="1:27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M79" s="112" t="str">
        <f>Données!B24</f>
        <v>Sud Ouest Francilien</v>
      </c>
      <c r="N79" s="112">
        <f>Données!BQ24</f>
        <v>212.98140159255593</v>
      </c>
      <c r="O79" s="112">
        <f>Données!BR24</f>
        <v>196.89453642630693</v>
      </c>
      <c r="P79" s="112">
        <f>Données!BS24</f>
        <v>378.73742872800779</v>
      </c>
      <c r="Q79" s="112">
        <f>Données!BT24</f>
        <v>525.60421734149384</v>
      </c>
      <c r="R79" s="112">
        <f>Données!BU24</f>
        <v>2084.0045554987464</v>
      </c>
      <c r="S79" s="112">
        <f>Données!BV24</f>
        <v>276.09289527630062</v>
      </c>
      <c r="T79" s="112">
        <f>Données!BW24</f>
        <v>305.22508003607811</v>
      </c>
      <c r="U79" s="112">
        <f>Données!BX24</f>
        <v>61.361979062903643</v>
      </c>
      <c r="V79" s="112">
        <f>Données!BY24</f>
        <v>56.55289861254893</v>
      </c>
      <c r="W79" s="112">
        <f>Données!BZ24</f>
        <v>101.81333300455196</v>
      </c>
      <c r="X79" s="112">
        <f>Données!CA24</f>
        <v>442.18727325051623</v>
      </c>
      <c r="Y79" s="112">
        <f>Données!CB24</f>
        <v>139.16181326042576</v>
      </c>
      <c r="Z79" s="112">
        <f>Données!CC24</f>
        <v>502.4965011623907</v>
      </c>
      <c r="AA79" s="112">
        <f>Données!CD24</f>
        <v>199.11278183303068</v>
      </c>
    </row>
    <row r="80" spans="1:27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M80" s="112" t="str">
        <f>Données!B25</f>
        <v>Seine-Aval</v>
      </c>
      <c r="N80" s="112">
        <f>Données!BQ25</f>
        <v>376.15351396713197</v>
      </c>
      <c r="O80" s="112">
        <f>Données!BR25</f>
        <v>902.92807382030742</v>
      </c>
      <c r="P80" s="112">
        <f>Données!BS25</f>
        <v>1188.2456680365935</v>
      </c>
      <c r="Q80" s="112">
        <f>Données!BT25</f>
        <v>2325.6880227160141</v>
      </c>
      <c r="R80" s="112">
        <f>Données!BU25</f>
        <v>9820.6781477559216</v>
      </c>
      <c r="S80" s="112">
        <f>Données!BV25</f>
        <v>506.18746992021818</v>
      </c>
      <c r="T80" s="112">
        <f>Données!BW25</f>
        <v>944.19432581881551</v>
      </c>
      <c r="U80" s="112">
        <f>Données!BX25</f>
        <v>563.96826957812675</v>
      </c>
      <c r="V80" s="112">
        <f>Données!BY25</f>
        <v>413.97704972432973</v>
      </c>
      <c r="W80" s="112">
        <f>Données!BZ25</f>
        <v>197.84388977772477</v>
      </c>
      <c r="X80" s="112">
        <f>Données!CA25</f>
        <v>2871.9739593824074</v>
      </c>
      <c r="Y80" s="112">
        <f>Données!CB25</f>
        <v>970.41702279704873</v>
      </c>
      <c r="Z80" s="112">
        <f>Données!CC25</f>
        <v>2313.2700812738153</v>
      </c>
      <c r="AA80" s="112">
        <f>Données!CD25</f>
        <v>1038.8460794834357</v>
      </c>
    </row>
    <row r="81" spans="1:27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M81" s="112" t="str">
        <f>Données!B26</f>
        <v>Versailles Saclay</v>
      </c>
      <c r="N81" s="112">
        <f>Données!BQ26</f>
        <v>400.07822472966382</v>
      </c>
      <c r="O81" s="112">
        <f>Données!BR26</f>
        <v>1831.8826063441131</v>
      </c>
      <c r="P81" s="112">
        <f>Données!BS26</f>
        <v>2221.9742229649328</v>
      </c>
      <c r="Q81" s="112">
        <f>Données!BT26</f>
        <v>4546.7577561638873</v>
      </c>
      <c r="R81" s="112">
        <f>Données!BU26</f>
        <v>26111.277539559534</v>
      </c>
      <c r="S81" s="112">
        <f>Données!BV26</f>
        <v>1132.7288758320733</v>
      </c>
      <c r="T81" s="112">
        <f>Données!BW26</f>
        <v>2596.0203529292476</v>
      </c>
      <c r="U81" s="112">
        <f>Données!BX26</f>
        <v>2312.6093403305285</v>
      </c>
      <c r="V81" s="112">
        <f>Données!BY26</f>
        <v>443.59767804122049</v>
      </c>
      <c r="W81" s="112">
        <f>Données!BZ26</f>
        <v>256.39591310036542</v>
      </c>
      <c r="X81" s="112">
        <f>Données!CA26</f>
        <v>12545.980099782708</v>
      </c>
      <c r="Y81" s="112">
        <f>Données!CB26</f>
        <v>1655.4380411577947</v>
      </c>
      <c r="Z81" s="112">
        <f>Données!CC26</f>
        <v>3294.9783964509634</v>
      </c>
      <c r="AA81" s="112">
        <f>Données!CD26</f>
        <v>1873.5288419346339</v>
      </c>
    </row>
    <row r="82" spans="1:27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M82" s="112" t="str">
        <f>Données!B27</f>
        <v>Ouest 95</v>
      </c>
      <c r="N82" s="112">
        <f>Données!BQ27</f>
        <v>157.30977082387039</v>
      </c>
      <c r="O82" s="112">
        <f>Données!BR27</f>
        <v>530.35099734206767</v>
      </c>
      <c r="P82" s="112">
        <f>Données!BS27</f>
        <v>655.80472450615548</v>
      </c>
      <c r="Q82" s="112">
        <f>Données!BT27</f>
        <v>945.61518708331835</v>
      </c>
      <c r="R82" s="112">
        <f>Données!BU27</f>
        <v>5144.4920832547787</v>
      </c>
      <c r="S82" s="112">
        <f>Données!BV27</f>
        <v>713.91633749663742</v>
      </c>
      <c r="T82" s="112">
        <f>Données!BW27</f>
        <v>436.18403778482553</v>
      </c>
      <c r="U82" s="112">
        <f>Données!BX27</f>
        <v>343.14365002157547</v>
      </c>
      <c r="V82" s="112">
        <f>Données!BY27</f>
        <v>131.37566354426204</v>
      </c>
      <c r="W82" s="112">
        <f>Données!BZ27</f>
        <v>66.668702343341266</v>
      </c>
      <c r="X82" s="112">
        <f>Données!CA27</f>
        <v>1371.1190292178155</v>
      </c>
      <c r="Y82" s="112">
        <f>Données!CB27</f>
        <v>600.07329655061835</v>
      </c>
      <c r="Z82" s="112">
        <f>Données!CC27</f>
        <v>636.09332371025835</v>
      </c>
      <c r="AA82" s="112">
        <f>Données!CD27</f>
        <v>845.91804258544505</v>
      </c>
    </row>
    <row r="83" spans="1:27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M83" s="112" t="str">
        <f>Données!B28</f>
        <v>Sud 91</v>
      </c>
      <c r="N83" s="112">
        <f>Données!BQ28</f>
        <v>86.795924055762796</v>
      </c>
      <c r="O83" s="112">
        <f>Données!BR28</f>
        <v>113.75431731172549</v>
      </c>
      <c r="P83" s="112">
        <f>Données!BS28</f>
        <v>232.33485137576258</v>
      </c>
      <c r="Q83" s="112">
        <f>Données!BT28</f>
        <v>453.46783320866234</v>
      </c>
      <c r="R83" s="112">
        <f>Données!BU28</f>
        <v>2643.9414050963319</v>
      </c>
      <c r="S83" s="112">
        <f>Données!BV28</f>
        <v>169.25940047683218</v>
      </c>
      <c r="T83" s="112">
        <f>Données!BW28</f>
        <v>158.02919770865304</v>
      </c>
      <c r="U83" s="112">
        <f>Données!BX28</f>
        <v>74.069509727881723</v>
      </c>
      <c r="V83" s="112">
        <f>Données!BY28</f>
        <v>18.610071897688144</v>
      </c>
      <c r="W83" s="112">
        <f>Données!BZ28</f>
        <v>68.776312111341525</v>
      </c>
      <c r="X83" s="112">
        <f>Données!CA28</f>
        <v>1151.7167051683541</v>
      </c>
      <c r="Y83" s="112">
        <f>Données!CB28</f>
        <v>317.20131365281674</v>
      </c>
      <c r="Z83" s="112">
        <f>Données!CC28</f>
        <v>416.04327147360192</v>
      </c>
      <c r="AA83" s="112">
        <f>Données!CD28</f>
        <v>270.23562287916229</v>
      </c>
    </row>
    <row r="84" spans="1:27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M84" s="112" t="str">
        <f>Données!B29</f>
        <v>T12</v>
      </c>
      <c r="N84" s="112">
        <f>Données!BQ29</f>
        <v>133.73652507530275</v>
      </c>
      <c r="O84" s="112">
        <f>Données!BR29</f>
        <v>607.50260243576918</v>
      </c>
      <c r="P84" s="112">
        <f>Données!BS29</f>
        <v>1545.766978749718</v>
      </c>
      <c r="Q84" s="112">
        <f>Données!BT29</f>
        <v>3238.9737275861517</v>
      </c>
      <c r="R84" s="112">
        <f>Données!BU29</f>
        <v>13103.56733508849</v>
      </c>
      <c r="S84" s="112">
        <f>Données!BV29</f>
        <v>1800.5266662067556</v>
      </c>
      <c r="T84" s="112">
        <f>Données!BW29</f>
        <v>1358.8873253541831</v>
      </c>
      <c r="U84" s="112">
        <f>Données!BX29</f>
        <v>954.71575155719631</v>
      </c>
      <c r="V84" s="112">
        <f>Données!BY29</f>
        <v>270.66647324576337</v>
      </c>
      <c r="W84" s="112">
        <f>Données!BZ29</f>
        <v>205.40325023967694</v>
      </c>
      <c r="X84" s="112">
        <f>Données!CA29</f>
        <v>4294.7060463501011</v>
      </c>
      <c r="Y84" s="112">
        <f>Données!CB29</f>
        <v>853.76448900759226</v>
      </c>
      <c r="Z84" s="112">
        <f>Données!CC29</f>
        <v>1852.256779556797</v>
      </c>
      <c r="AA84" s="112">
        <f>Données!CD29</f>
        <v>1512.6405535704257</v>
      </c>
    </row>
    <row r="85" spans="1:27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M85" s="112" t="str">
        <f>Données!B30</f>
        <v>T2</v>
      </c>
      <c r="N85" s="112">
        <f>Données!BQ30</f>
        <v>60.972370054542253</v>
      </c>
      <c r="O85" s="112">
        <f>Données!BR30</f>
        <v>325.57478881382536</v>
      </c>
      <c r="P85" s="112">
        <f>Données!BS30</f>
        <v>704.11862138704862</v>
      </c>
      <c r="Q85" s="112">
        <f>Données!BT30</f>
        <v>1015.3895889256091</v>
      </c>
      <c r="R85" s="112">
        <f>Données!BU30</f>
        <v>7902.1979360880759</v>
      </c>
      <c r="S85" s="112">
        <f>Données!BV30</f>
        <v>351.70753672010039</v>
      </c>
      <c r="T85" s="112">
        <f>Données!BW30</f>
        <v>543.48990399299305</v>
      </c>
      <c r="U85" s="112">
        <f>Données!BX30</f>
        <v>1771.1442166624263</v>
      </c>
      <c r="V85" s="112">
        <f>Données!BY30</f>
        <v>512.06882951328771</v>
      </c>
      <c r="W85" s="112">
        <f>Données!BZ30</f>
        <v>125.06777863520962</v>
      </c>
      <c r="X85" s="112">
        <f>Données!CA30</f>
        <v>1936.745863336879</v>
      </c>
      <c r="Y85" s="112">
        <f>Données!CB30</f>
        <v>634.59084486836298</v>
      </c>
      <c r="Z85" s="112">
        <f>Données!CC30</f>
        <v>1253.5038619250558</v>
      </c>
      <c r="AA85" s="112">
        <f>Données!CD30</f>
        <v>773.87910043375973</v>
      </c>
    </row>
    <row r="86" spans="1:27" x14ac:dyDescent="0.2">
      <c r="M86" s="112" t="str">
        <f>Données!B31</f>
        <v>T5</v>
      </c>
      <c r="N86" s="112">
        <f>Données!BQ31</f>
        <v>290.84893052264999</v>
      </c>
      <c r="O86" s="112">
        <f>Données!BR31</f>
        <v>821.89463740792974</v>
      </c>
      <c r="P86" s="112">
        <f>Données!BS31</f>
        <v>1184.2694662895428</v>
      </c>
      <c r="Q86" s="112">
        <f>Données!BT31</f>
        <v>1818.5922980134974</v>
      </c>
      <c r="R86" s="112">
        <f>Données!BU31</f>
        <v>10775.122201444896</v>
      </c>
      <c r="S86" s="112">
        <f>Données!BV31</f>
        <v>869.70803393316135</v>
      </c>
      <c r="T86" s="112">
        <f>Données!BW31</f>
        <v>1165.9765597932467</v>
      </c>
      <c r="U86" s="112">
        <f>Données!BX31</f>
        <v>990.29478318956581</v>
      </c>
      <c r="V86" s="112">
        <f>Données!BY31</f>
        <v>752.49507223933654</v>
      </c>
      <c r="W86" s="112">
        <f>Données!BZ31</f>
        <v>209.87628255074705</v>
      </c>
      <c r="X86" s="112">
        <f>Données!CA31</f>
        <v>3604.7234491038939</v>
      </c>
      <c r="Y86" s="112">
        <f>Données!CB31</f>
        <v>531.51632457972346</v>
      </c>
      <c r="Z86" s="112">
        <f>Données!CC31</f>
        <v>1619.7236774267981</v>
      </c>
      <c r="AA86" s="112">
        <f>Données!CD31</f>
        <v>1030.8080186284224</v>
      </c>
    </row>
    <row r="87" spans="1:27" x14ac:dyDescent="0.2">
      <c r="M87" s="112" t="str">
        <f>Données!B32</f>
        <v>T3</v>
      </c>
      <c r="N87" s="112">
        <f>Données!BQ32</f>
        <v>244.52512190089112</v>
      </c>
      <c r="O87" s="112">
        <f>Données!BR32</f>
        <v>136.74826058330771</v>
      </c>
      <c r="P87" s="112">
        <f>Données!BS32</f>
        <v>771.07649245359312</v>
      </c>
      <c r="Q87" s="112">
        <f>Données!BT32</f>
        <v>1640.112043248776</v>
      </c>
      <c r="R87" s="112">
        <f>Données!BU32</f>
        <v>14417.314011113185</v>
      </c>
      <c r="S87" s="112">
        <f>Données!BV32</f>
        <v>461.99989978379324</v>
      </c>
      <c r="T87" s="112">
        <f>Données!BW32</f>
        <v>862.77242672246928</v>
      </c>
      <c r="U87" s="112">
        <f>Données!BX32</f>
        <v>6017.5886345504205</v>
      </c>
      <c r="V87" s="112">
        <f>Données!BY32</f>
        <v>273.56668555060253</v>
      </c>
      <c r="W87" s="112">
        <f>Données!BZ32</f>
        <v>192.84293579784244</v>
      </c>
      <c r="X87" s="112">
        <f>Données!CA32</f>
        <v>3472.2552404574485</v>
      </c>
      <c r="Y87" s="112">
        <f>Données!CB32</f>
        <v>615.42809821246578</v>
      </c>
      <c r="Z87" s="112">
        <f>Données!CC32</f>
        <v>1505.044819828971</v>
      </c>
      <c r="AA87" s="112">
        <f>Données!CD32</f>
        <v>1015.8152702091741</v>
      </c>
    </row>
    <row r="88" spans="1:27" x14ac:dyDescent="0.2">
      <c r="M88" s="112" t="str">
        <f>Données!B33</f>
        <v>T4</v>
      </c>
      <c r="N88" s="112">
        <f>Données!BQ33</f>
        <v>199.29217344116165</v>
      </c>
      <c r="O88" s="112">
        <f>Données!BR33</f>
        <v>1112.0544532677359</v>
      </c>
      <c r="P88" s="112">
        <f>Données!BS33</f>
        <v>1004.4196074493376</v>
      </c>
      <c r="Q88" s="112">
        <f>Données!BT33</f>
        <v>3167.2765558976271</v>
      </c>
      <c r="R88" s="112">
        <f>Données!BU33</f>
        <v>31574.981147024235</v>
      </c>
      <c r="S88" s="112">
        <f>Données!BV33</f>
        <v>512.81407054186036</v>
      </c>
      <c r="T88" s="112">
        <f>Données!BW33</f>
        <v>2009.2771813842492</v>
      </c>
      <c r="U88" s="112">
        <f>Données!BX33</f>
        <v>7594.4048378831476</v>
      </c>
      <c r="V88" s="112">
        <f>Données!BY33</f>
        <v>3066.5491784375399</v>
      </c>
      <c r="W88" s="112">
        <f>Données!BZ33</f>
        <v>346.5883318889388</v>
      </c>
      <c r="X88" s="112">
        <f>Données!CA33</f>
        <v>12662.681122198079</v>
      </c>
      <c r="Y88" s="112">
        <f>Données!CB33</f>
        <v>1285.8815851562117</v>
      </c>
      <c r="Z88" s="112">
        <f>Données!CC33</f>
        <v>2860.3886611161652</v>
      </c>
      <c r="AA88" s="112">
        <f>Données!CD33</f>
        <v>1236.3961784180419</v>
      </c>
    </row>
    <row r="89" spans="1:27" x14ac:dyDescent="0.2">
      <c r="M89" s="112" t="str">
        <f>Données!B34</f>
        <v>T6</v>
      </c>
      <c r="N89" s="112">
        <f>Données!BQ34</f>
        <v>130.29958173436739</v>
      </c>
      <c r="O89" s="112">
        <f>Données!BR34</f>
        <v>374.56828858940344</v>
      </c>
      <c r="P89" s="112">
        <f>Données!BS34</f>
        <v>1231.081831008398</v>
      </c>
      <c r="Q89" s="112">
        <f>Données!BT34</f>
        <v>1176.1973308161191</v>
      </c>
      <c r="R89" s="112">
        <f>Données!BU34</f>
        <v>7897.3965011839218</v>
      </c>
      <c r="S89" s="112">
        <f>Données!BV34</f>
        <v>798.93498612138922</v>
      </c>
      <c r="T89" s="112">
        <f>Données!BW34</f>
        <v>1073.7343083084249</v>
      </c>
      <c r="U89" s="112">
        <f>Données!BX34</f>
        <v>1102.785233605613</v>
      </c>
      <c r="V89" s="112">
        <f>Données!BY34</f>
        <v>233.56147131061672</v>
      </c>
      <c r="W89" s="112">
        <f>Données!BZ34</f>
        <v>82.76990090568961</v>
      </c>
      <c r="X89" s="112">
        <f>Données!CA34</f>
        <v>1917.3540411176409</v>
      </c>
      <c r="Y89" s="112">
        <f>Données!CB34</f>
        <v>768.26535775226296</v>
      </c>
      <c r="Z89" s="112">
        <f>Données!CC34</f>
        <v>904.24169741395644</v>
      </c>
      <c r="AA89" s="112">
        <f>Données!CD34</f>
        <v>1015.7495046483283</v>
      </c>
    </row>
    <row r="90" spans="1:27" x14ac:dyDescent="0.2">
      <c r="M90" s="112" t="str">
        <f>Données!B35</f>
        <v>T8</v>
      </c>
      <c r="N90" s="112">
        <f>Données!BQ35</f>
        <v>113.46309653716631</v>
      </c>
      <c r="O90" s="112">
        <f>Données!BR35</f>
        <v>281.77322947952564</v>
      </c>
      <c r="P90" s="112">
        <f>Données!BS35</f>
        <v>1410.6096244158196</v>
      </c>
      <c r="Q90" s="112">
        <f>Données!BT35</f>
        <v>1116.7142362294821</v>
      </c>
      <c r="R90" s="112">
        <f>Données!BU35</f>
        <v>8445.8168403905984</v>
      </c>
      <c r="S90" s="112">
        <f>Données!BV35</f>
        <v>619.96035107354123</v>
      </c>
      <c r="T90" s="112">
        <f>Données!BW35</f>
        <v>534.57659077958567</v>
      </c>
      <c r="U90" s="112">
        <f>Données!BX35</f>
        <v>694.46729062128577</v>
      </c>
      <c r="V90" s="112">
        <f>Données!BY35</f>
        <v>123.74373087404813</v>
      </c>
      <c r="W90" s="112">
        <f>Données!BZ35</f>
        <v>143.59742363896913</v>
      </c>
      <c r="X90" s="112">
        <f>Données!CA35</f>
        <v>1600.3755518024855</v>
      </c>
      <c r="Y90" s="112">
        <f>Données!CB35</f>
        <v>637.93406976513006</v>
      </c>
      <c r="Z90" s="112">
        <f>Données!CC35</f>
        <v>1216.739569075834</v>
      </c>
      <c r="AA90" s="112">
        <f>Données!CD35</f>
        <v>2874.4222627597178</v>
      </c>
    </row>
    <row r="91" spans="1:27" x14ac:dyDescent="0.2">
      <c r="M91" s="112" t="str">
        <f>Données!B36</f>
        <v>T9</v>
      </c>
      <c r="N91" s="112">
        <f>Données!BQ36</f>
        <v>134.44738693200964</v>
      </c>
      <c r="O91" s="112">
        <f>Données!BR36</f>
        <v>187.11578135354682</v>
      </c>
      <c r="P91" s="112">
        <f>Données!BS36</f>
        <v>1064.9933518106175</v>
      </c>
      <c r="Q91" s="112">
        <f>Données!BT36</f>
        <v>1045.660166557333</v>
      </c>
      <c r="R91" s="112">
        <f>Données!BU36</f>
        <v>4589.1292035216948</v>
      </c>
      <c r="S91" s="112">
        <f>Données!BV36</f>
        <v>390.85008721216019</v>
      </c>
      <c r="T91" s="112">
        <f>Données!BW36</f>
        <v>539.93137299743717</v>
      </c>
      <c r="U91" s="112">
        <f>Données!BX36</f>
        <v>214.48129850219675</v>
      </c>
      <c r="V91" s="112">
        <f>Données!BY36</f>
        <v>123.86152106362881</v>
      </c>
      <c r="W91" s="112">
        <f>Données!BZ36</f>
        <v>156.67655655668761</v>
      </c>
      <c r="X91" s="112">
        <f>Données!CA36</f>
        <v>1168.3866475544935</v>
      </c>
      <c r="Y91" s="112">
        <f>Données!CB36</f>
        <v>667.841497112865</v>
      </c>
      <c r="Z91" s="112">
        <f>Données!CC36</f>
        <v>637.50823875999845</v>
      </c>
      <c r="AA91" s="112">
        <f>Données!CD36</f>
        <v>689.59198376222673</v>
      </c>
    </row>
    <row r="92" spans="1:27" x14ac:dyDescent="0.2">
      <c r="M92" s="112" t="str">
        <f>Données!B37</f>
        <v>T11</v>
      </c>
      <c r="N92" s="112">
        <f>Données!BQ37</f>
        <v>16.60821777801986</v>
      </c>
      <c r="O92" s="112">
        <f>Données!BR37</f>
        <v>296.30220475511106</v>
      </c>
      <c r="P92" s="112">
        <f>Données!BS37</f>
        <v>766.66597221873383</v>
      </c>
      <c r="Q92" s="112">
        <f>Données!BT37</f>
        <v>1126.1311513539138</v>
      </c>
      <c r="R92" s="112">
        <f>Données!BU37</f>
        <v>4230.8324220003724</v>
      </c>
      <c r="S92" s="112">
        <f>Données!BV37</f>
        <v>424.76120246385335</v>
      </c>
      <c r="T92" s="112">
        <f>Données!BW37</f>
        <v>310.62386307615765</v>
      </c>
      <c r="U92" s="112">
        <f>Données!BX37</f>
        <v>92.978430190089213</v>
      </c>
      <c r="V92" s="112">
        <f>Données!BY37</f>
        <v>120.13623375372732</v>
      </c>
      <c r="W92" s="112">
        <f>Données!BZ37</f>
        <v>111.03841851749213</v>
      </c>
      <c r="X92" s="112">
        <f>Données!CA37</f>
        <v>1184.6272676390213</v>
      </c>
      <c r="Y92" s="112">
        <f>Données!CB37</f>
        <v>889.0010873771032</v>
      </c>
      <c r="Z92" s="112">
        <f>Données!CC37</f>
        <v>545.59499677641975</v>
      </c>
      <c r="AA92" s="112">
        <f>Données!CD37</f>
        <v>552.0709222065077</v>
      </c>
    </row>
    <row r="93" spans="1:27" x14ac:dyDescent="0.2">
      <c r="M93" s="112" t="str">
        <f>Données!B38</f>
        <v>T10</v>
      </c>
      <c r="N93" s="112">
        <f>Données!BQ38</f>
        <v>66.293682329059067</v>
      </c>
      <c r="O93" s="112">
        <f>Données!BR38</f>
        <v>230.22119654093936</v>
      </c>
      <c r="P93" s="112">
        <f>Données!BS38</f>
        <v>1032.7242244523936</v>
      </c>
      <c r="Q93" s="112">
        <f>Données!BT38</f>
        <v>1038.5679781465201</v>
      </c>
      <c r="R93" s="112">
        <f>Données!BU38</f>
        <v>7773.6829401369469</v>
      </c>
      <c r="S93" s="112">
        <f>Données!BV38</f>
        <v>275.57315100357374</v>
      </c>
      <c r="T93" s="112">
        <f>Données!BW38</f>
        <v>465.20044835879406</v>
      </c>
      <c r="U93" s="112">
        <f>Données!BX38</f>
        <v>684.71115972003076</v>
      </c>
      <c r="V93" s="112">
        <f>Données!BY38</f>
        <v>996.68084717285979</v>
      </c>
      <c r="W93" s="112">
        <f>Données!BZ38</f>
        <v>341.5599604767927</v>
      </c>
      <c r="X93" s="112">
        <f>Données!CA38</f>
        <v>1419.1016119560857</v>
      </c>
      <c r="Y93" s="112">
        <f>Données!CB38</f>
        <v>623.67971169365819</v>
      </c>
      <c r="Z93" s="112">
        <f>Données!CC38</f>
        <v>1442.1012786828999</v>
      </c>
      <c r="AA93" s="112">
        <f>Données!CD38</f>
        <v>1525.0747710722519</v>
      </c>
    </row>
    <row r="94" spans="1:27" x14ac:dyDescent="0.2">
      <c r="B94" s="112" t="str">
        <f>UPPER("résultats de l'enquête")</f>
        <v>RÉSULTATS DE L'ENQUÊTE</v>
      </c>
      <c r="M94" s="112" t="str">
        <f>Données!B39</f>
        <v>Est 95</v>
      </c>
      <c r="N94" s="112">
        <f>Données!BQ39</f>
        <v>327.01398290173972</v>
      </c>
      <c r="O94" s="112">
        <f>Données!BR39</f>
        <v>414.53965528478011</v>
      </c>
      <c r="P94" s="112">
        <f>Données!BS39</f>
        <v>1241.1019477269817</v>
      </c>
      <c r="Q94" s="112">
        <f>Données!BT39</f>
        <v>1714.9767461899019</v>
      </c>
      <c r="R94" s="112">
        <f>Données!BU39</f>
        <v>5848.2276797905624</v>
      </c>
      <c r="S94" s="112">
        <f>Données!BV39</f>
        <v>464.65840316671029</v>
      </c>
      <c r="T94" s="112">
        <f>Données!BW39</f>
        <v>605.1995551195912</v>
      </c>
      <c r="U94" s="112">
        <f>Données!BX39</f>
        <v>339.3941356369757</v>
      </c>
      <c r="V94" s="112">
        <f>Données!BY39</f>
        <v>209.89434922603087</v>
      </c>
      <c r="W94" s="112">
        <f>Données!BZ39</f>
        <v>147.69472649001781</v>
      </c>
      <c r="X94" s="112">
        <f>Données!CA39</f>
        <v>1267.3881598847993</v>
      </c>
      <c r="Y94" s="112">
        <f>Données!CB39</f>
        <v>679.27394611270097</v>
      </c>
      <c r="Z94" s="112">
        <f>Données!CC39</f>
        <v>1402.9643004086834</v>
      </c>
      <c r="AA94" s="112">
        <f>Données!CD39</f>
        <v>731.76010374505233</v>
      </c>
    </row>
    <row r="100" spans="13:14" x14ac:dyDescent="0.2">
      <c r="M100" s="112" t="s">
        <v>56</v>
      </c>
      <c r="N100" s="114">
        <f>VLOOKUP(M2,$M$56:$R$94,2,0)</f>
        <v>470.7426669891347</v>
      </c>
    </row>
    <row r="101" spans="13:14" x14ac:dyDescent="0.2">
      <c r="M101" s="112" t="s">
        <v>57</v>
      </c>
      <c r="N101" s="114">
        <f>VLOOKUP(M2,$M$56:$R$94,3,0)</f>
        <v>1825.8693356395659</v>
      </c>
    </row>
    <row r="102" spans="13:14" x14ac:dyDescent="0.2">
      <c r="M102" s="112" t="s">
        <v>58</v>
      </c>
      <c r="N102" s="114">
        <f>VLOOKUP(M2,$M$56:$R$94,4,0)</f>
        <v>2964.3060209264831</v>
      </c>
    </row>
    <row r="103" spans="13:14" x14ac:dyDescent="0.2">
      <c r="M103" s="112" t="s">
        <v>59</v>
      </c>
      <c r="N103" s="114">
        <f>VLOOKUP(M2,$M$56:$R$94,5,0)</f>
        <v>3993.8863076846155</v>
      </c>
    </row>
    <row r="104" spans="13:14" x14ac:dyDescent="0.2">
      <c r="M104" s="112" t="s">
        <v>71</v>
      </c>
      <c r="N104" s="114">
        <f>VLOOKUP(M2,$M$56:$R$94,6,0)</f>
        <v>21039.423405016543</v>
      </c>
    </row>
    <row r="108" spans="13:14" x14ac:dyDescent="0.2">
      <c r="M108" s="112" t="s">
        <v>80</v>
      </c>
      <c r="N108" s="114">
        <f>VLOOKUP($M$2,$M$57:$AA$94,10,0)</f>
        <v>373.62639046436124</v>
      </c>
    </row>
    <row r="109" spans="13:14" x14ac:dyDescent="0.2">
      <c r="M109" s="112" t="s">
        <v>81</v>
      </c>
      <c r="N109" s="114">
        <f>VLOOKUP($M$2,$M$57:$AA$94,11,0)</f>
        <v>292.26587149957828</v>
      </c>
    </row>
    <row r="110" spans="13:14" x14ac:dyDescent="0.2">
      <c r="M110" s="112" t="s">
        <v>82</v>
      </c>
      <c r="N110" s="114">
        <f>VLOOKUP($M$2,$M$57:$AA$94,13,0)</f>
        <v>1912.5038048838419</v>
      </c>
    </row>
    <row r="111" spans="13:14" x14ac:dyDescent="0.2">
      <c r="M111" s="112" t="s">
        <v>84</v>
      </c>
      <c r="N111" s="114">
        <f>VLOOKUP($M$2,$M$57:$AA$94,15,0)</f>
        <v>2107.5388220408145</v>
      </c>
    </row>
    <row r="112" spans="13:14" x14ac:dyDescent="0.2">
      <c r="M112" s="112" t="s">
        <v>78</v>
      </c>
      <c r="N112" s="114">
        <f>VLOOKUP($M$2,$M$57:$AA$94,8,0)</f>
        <v>2933.6280650539229</v>
      </c>
    </row>
    <row r="113" spans="13:15" x14ac:dyDescent="0.2">
      <c r="M113" s="112" t="s">
        <v>79</v>
      </c>
      <c r="N113" s="114">
        <f>VLOOKUP($M$2,$M$57:$AA$94,9,0)</f>
        <v>855.78560058661037</v>
      </c>
    </row>
    <row r="114" spans="13:15" x14ac:dyDescent="0.2">
      <c r="M114" s="112" t="s">
        <v>83</v>
      </c>
      <c r="N114" s="114">
        <f>VLOOKUP($M$2,$M$57:$AA$94,14,0)</f>
        <v>3780.4023055466869</v>
      </c>
    </row>
    <row r="115" spans="13:15" x14ac:dyDescent="0.2">
      <c r="M115" s="112" t="s">
        <v>135</v>
      </c>
      <c r="N115" s="114">
        <f>VLOOKUP($M$2,$M$57:$AA$94,12,0)</f>
        <v>6306.5140954828203</v>
      </c>
    </row>
    <row r="116" spans="13:15" x14ac:dyDescent="0.2">
      <c r="M116" s="112" t="s">
        <v>134</v>
      </c>
      <c r="N116" s="114">
        <f>VLOOKUP($M$2,$M$57:$AA$94,7,0)</f>
        <v>2477.158449457902</v>
      </c>
    </row>
    <row r="122" spans="13:15" x14ac:dyDescent="0.2">
      <c r="M122" s="117" t="s">
        <v>85</v>
      </c>
      <c r="N122" s="115">
        <f>VLOOKUP(M2,Données!B:CM,83,0)</f>
        <v>3243.7944306042027</v>
      </c>
      <c r="O122" s="116">
        <f>N122/SUM($N$122:$N$129)</f>
        <v>0.10707632024308074</v>
      </c>
    </row>
    <row r="123" spans="13:15" x14ac:dyDescent="0.2">
      <c r="M123" s="117" t="s">
        <v>61</v>
      </c>
      <c r="N123" s="115">
        <f>VLOOKUP(M2,Données!B:CM,84,0)</f>
        <v>3221.2833684238999</v>
      </c>
      <c r="O123" s="116">
        <f t="shared" ref="O123:O129" si="2">N123/SUM($N$122:$N$129)</f>
        <v>0.10633323933749418</v>
      </c>
    </row>
    <row r="124" spans="13:15" x14ac:dyDescent="0.2">
      <c r="M124" s="117" t="s">
        <v>62</v>
      </c>
      <c r="N124" s="115">
        <f>VLOOKUP(M2,Données!B:CM,85,0)</f>
        <v>2550.2514077303263</v>
      </c>
      <c r="O124" s="116">
        <f t="shared" si="2"/>
        <v>8.4182750256352232E-2</v>
      </c>
    </row>
    <row r="125" spans="13:15" x14ac:dyDescent="0.2">
      <c r="M125" s="117" t="s">
        <v>63</v>
      </c>
      <c r="N125" s="115">
        <f>VLOOKUP(M2,Données!B:CM,86,0)</f>
        <v>3525.7053532201003</v>
      </c>
      <c r="O125" s="116">
        <f t="shared" si="2"/>
        <v>0.11638208387139415</v>
      </c>
    </row>
    <row r="126" spans="13:15" x14ac:dyDescent="0.2">
      <c r="M126" s="117" t="s">
        <v>64</v>
      </c>
      <c r="N126" s="115">
        <f>VLOOKUP(M2,Données!B:CM,87,0)</f>
        <v>4934.4391815795834</v>
      </c>
      <c r="O126" s="116">
        <f t="shared" si="2"/>
        <v>0.16288380824687643</v>
      </c>
    </row>
    <row r="127" spans="13:15" x14ac:dyDescent="0.2">
      <c r="M127" s="117" t="s">
        <v>65</v>
      </c>
      <c r="N127" s="115">
        <f>VLOOKUP(M2,Données!B:CM,88,0)</f>
        <v>4040.5974081680783</v>
      </c>
      <c r="O127" s="116">
        <f t="shared" si="2"/>
        <v>0.13337845887163063</v>
      </c>
    </row>
    <row r="128" spans="13:15" x14ac:dyDescent="0.2">
      <c r="M128" s="117" t="s">
        <v>66</v>
      </c>
      <c r="N128" s="115">
        <f>VLOOKUP(M2,Données!B:CM,89,0)</f>
        <v>3035.7346688121002</v>
      </c>
      <c r="O128" s="116">
        <f t="shared" si="2"/>
        <v>0.10020835306453156</v>
      </c>
    </row>
    <row r="129" spans="13:15" x14ac:dyDescent="0.2">
      <c r="M129" s="117" t="s">
        <v>575</v>
      </c>
      <c r="N129" s="115">
        <f>VLOOKUP(M2,Données!B:CM,90,0)</f>
        <v>5742.4219177180503</v>
      </c>
      <c r="O129" s="116">
        <f t="shared" si="2"/>
        <v>0.18955498610864011</v>
      </c>
    </row>
  </sheetData>
  <mergeCells count="10">
    <mergeCell ref="C35:F35"/>
    <mergeCell ref="B20:C21"/>
    <mergeCell ref="F23:H23"/>
    <mergeCell ref="L3:M3"/>
    <mergeCell ref="I23:J23"/>
    <mergeCell ref="D23:E24"/>
    <mergeCell ref="D25:E25"/>
    <mergeCell ref="D26:E26"/>
    <mergeCell ref="D27:E27"/>
    <mergeCell ref="D28:E28"/>
  </mergeCells>
  <conditionalFormatting sqref="I24:I28">
    <cfRule type="expression" dxfId="2" priority="3">
      <formula>$I$23=0</formula>
    </cfRule>
  </conditionalFormatting>
  <conditionalFormatting sqref="I23:J23">
    <cfRule type="expression" dxfId="1" priority="2">
      <formula>$I$23=0</formula>
    </cfRule>
  </conditionalFormatting>
  <conditionalFormatting sqref="J24:J28">
    <cfRule type="expression" dxfId="0" priority="1">
      <formula>$I$23=0</formula>
    </cfRule>
  </conditionalFormatting>
  <dataValidations count="1">
    <dataValidation type="list" allowBlank="1" showInputMessage="1" showErrorMessage="1" sqref="L3:M3">
      <formula1>base_lignes</formula1>
    </dataValidation>
  </dataValidations>
  <pageMargins left="0.19685039370078741" right="0.19685039370078741" top="0.19685039370078741" bottom="0.19685039370078741" header="0" footer="0"/>
  <pageSetup paperSize="9" scale="66" fitToWidth="0" orientation="portrait" r:id="rId1"/>
  <colBreaks count="1" manualBreakCount="1">
    <brk id="1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07261" r:id="rId4" name="Drop Down 2301">
              <controlPr defaultSize="0" autoLine="0" autoPict="0">
                <anchor moveWithCells="1">
                  <from>
                    <xdr:col>1</xdr:col>
                    <xdr:colOff>266700</xdr:colOff>
                    <xdr:row>11</xdr:row>
                    <xdr:rowOff>19050</xdr:rowOff>
                  </from>
                  <to>
                    <xdr:col>3</xdr:col>
                    <xdr:colOff>942975</xdr:colOff>
                    <xdr:row>12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DP158"/>
  <sheetViews>
    <sheetView zoomScale="115" zoomScaleNormal="115" workbookViewId="0">
      <pane xSplit="2" topLeftCell="O1" activePane="topRight" state="frozen"/>
      <selection activeCell="V3" sqref="V3"/>
      <selection pane="topRight" activeCell="V3" sqref="V3"/>
    </sheetView>
  </sheetViews>
  <sheetFormatPr baseColWidth="10" defaultColWidth="10.85546875" defaultRowHeight="12.75" x14ac:dyDescent="0.2"/>
  <cols>
    <col min="1" max="1" width="17.5703125" bestFit="1" customWidth="1"/>
    <col min="2" max="2" width="25.7109375" bestFit="1" customWidth="1"/>
    <col min="3" max="4" width="19.140625" bestFit="1" customWidth="1"/>
    <col min="5" max="5" width="19.140625" customWidth="1"/>
    <col min="6" max="7" width="27" bestFit="1" customWidth="1"/>
    <col min="8" max="8" width="27" customWidth="1"/>
    <col min="9" max="10" width="29.85546875" bestFit="1" customWidth="1"/>
    <col min="11" max="11" width="29.85546875" customWidth="1"/>
    <col min="12" max="14" width="29.85546875" hidden="1" customWidth="1"/>
    <col min="15" max="17" width="14.42578125" customWidth="1"/>
    <col min="18" max="19" width="18.28515625" customWidth="1"/>
    <col min="20" max="20" width="19" customWidth="1"/>
    <col min="21" max="23" width="14.42578125" customWidth="1"/>
    <col min="24" max="24" width="19.5703125" hidden="1" customWidth="1"/>
    <col min="25" max="25" width="17.140625" hidden="1" customWidth="1"/>
    <col min="26" max="26" width="21" hidden="1" customWidth="1"/>
    <col min="27" max="27" width="25.7109375" bestFit="1" customWidth="1"/>
    <col min="28" max="28" width="66.7109375" bestFit="1" customWidth="1"/>
    <col min="29" max="29" width="15.7109375" bestFit="1" customWidth="1"/>
    <col min="30" max="31" width="16.42578125" bestFit="1" customWidth="1"/>
    <col min="32" max="32" width="67.28515625" bestFit="1" customWidth="1"/>
    <col min="33" max="33" width="15" bestFit="1" customWidth="1"/>
    <col min="34" max="35" width="16.28515625" bestFit="1" customWidth="1"/>
    <col min="36" max="36" width="67.28515625" bestFit="1" customWidth="1"/>
    <col min="37" max="37" width="15" bestFit="1" customWidth="1"/>
    <col min="38" max="39" width="16.28515625" bestFit="1" customWidth="1"/>
    <col min="40" max="40" width="67.28515625" bestFit="1" customWidth="1"/>
    <col min="41" max="41" width="15" bestFit="1" customWidth="1"/>
    <col min="42" max="43" width="16.28515625" bestFit="1" customWidth="1"/>
    <col min="44" max="44" width="67.28515625" bestFit="1" customWidth="1"/>
    <col min="45" max="45" width="15" bestFit="1" customWidth="1"/>
    <col min="46" max="47" width="16.28515625" bestFit="1" customWidth="1"/>
    <col min="48" max="48" width="74.140625" bestFit="1" customWidth="1"/>
    <col min="49" max="49" width="15" bestFit="1" customWidth="1"/>
    <col min="50" max="51" width="16.28515625" bestFit="1" customWidth="1"/>
    <col min="52" max="52" width="67.28515625" bestFit="1" customWidth="1"/>
    <col min="53" max="53" width="15" bestFit="1" customWidth="1"/>
    <col min="54" max="55" width="16.28515625" bestFit="1" customWidth="1"/>
    <col min="56" max="56" width="67.28515625" bestFit="1" customWidth="1"/>
    <col min="57" max="57" width="15" bestFit="1" customWidth="1"/>
    <col min="58" max="59" width="16.28515625" bestFit="1" customWidth="1"/>
    <col min="60" max="60" width="69.42578125" bestFit="1" customWidth="1"/>
    <col min="61" max="61" width="15" bestFit="1" customWidth="1"/>
    <col min="62" max="63" width="16.28515625" bestFit="1" customWidth="1"/>
    <col min="64" max="64" width="19.42578125" bestFit="1" customWidth="1"/>
    <col min="65" max="65" width="16.140625" bestFit="1" customWidth="1"/>
    <col min="66" max="67" width="17.28515625" bestFit="1" customWidth="1"/>
    <col min="68" max="68" width="30.140625" customWidth="1"/>
    <col min="69" max="69" width="21" bestFit="1" customWidth="1"/>
    <col min="70" max="70" width="13.5703125" bestFit="1" customWidth="1"/>
    <col min="71" max="71" width="14.85546875" customWidth="1"/>
    <col min="72" max="72" width="12" customWidth="1"/>
    <col min="73" max="73" width="13.7109375" customWidth="1"/>
    <col min="74" max="74" width="15" customWidth="1"/>
    <col min="75" max="75" width="19.140625" bestFit="1" customWidth="1"/>
    <col min="76" max="76" width="21" bestFit="1" customWidth="1"/>
    <col min="77" max="77" width="17.28515625" customWidth="1"/>
    <col min="78" max="78" width="15.42578125" customWidth="1"/>
    <col min="79" max="79" width="19.140625" customWidth="1"/>
    <col min="80" max="80" width="20.7109375" customWidth="1"/>
    <col min="81" max="81" width="30.28515625" customWidth="1"/>
    <col min="82" max="82" width="14.42578125" customWidth="1"/>
    <col min="83" max="83" width="16" customWidth="1"/>
    <col min="84" max="86" width="10.85546875" customWidth="1"/>
    <col min="87" max="87" width="14.140625" bestFit="1" customWidth="1"/>
    <col min="88" max="89" width="10.85546875" customWidth="1"/>
    <col min="90" max="90" width="17.7109375" bestFit="1" customWidth="1"/>
    <col min="91" max="91" width="11.5703125" bestFit="1" customWidth="1"/>
    <col min="92" max="92" width="14.140625" bestFit="1" customWidth="1"/>
    <col min="93" max="93" width="28.140625" customWidth="1"/>
    <col min="94" max="94" width="28.28515625" customWidth="1"/>
    <col min="95" max="95" width="38.85546875" customWidth="1"/>
    <col min="96" max="96" width="37.85546875" customWidth="1"/>
    <col min="97" max="97" width="84.7109375" bestFit="1" customWidth="1"/>
    <col min="98" max="16384" width="10.85546875" style="44"/>
  </cols>
  <sheetData>
    <row r="1" spans="1:97" s="64" customFormat="1" ht="38.25" x14ac:dyDescent="0.2">
      <c r="A1" s="64" t="s">
        <v>2</v>
      </c>
      <c r="B1" s="64" t="s">
        <v>1</v>
      </c>
      <c r="C1" s="65" t="s">
        <v>159</v>
      </c>
      <c r="D1" s="65" t="s">
        <v>219</v>
      </c>
      <c r="E1" s="64" t="s">
        <v>196</v>
      </c>
      <c r="F1" s="64" t="s">
        <v>160</v>
      </c>
      <c r="G1" s="64" t="s">
        <v>220</v>
      </c>
      <c r="H1" s="64" t="s">
        <v>197</v>
      </c>
      <c r="I1" s="64" t="s">
        <v>161</v>
      </c>
      <c r="J1" s="64" t="s">
        <v>221</v>
      </c>
      <c r="K1" s="64" t="s">
        <v>198</v>
      </c>
      <c r="L1" s="64" t="s">
        <v>155</v>
      </c>
      <c r="M1" s="64" t="s">
        <v>162</v>
      </c>
      <c r="N1" s="64" t="s">
        <v>69</v>
      </c>
      <c r="O1" s="64" t="s">
        <v>163</v>
      </c>
      <c r="P1" s="64" t="s">
        <v>222</v>
      </c>
      <c r="Q1" s="64" t="s">
        <v>199</v>
      </c>
      <c r="R1" s="64" t="s">
        <v>164</v>
      </c>
      <c r="S1" s="64" t="s">
        <v>223</v>
      </c>
      <c r="T1" s="64" t="s">
        <v>200</v>
      </c>
      <c r="U1" s="64" t="s">
        <v>165</v>
      </c>
      <c r="V1" s="64" t="s">
        <v>224</v>
      </c>
      <c r="W1" s="64" t="s">
        <v>201</v>
      </c>
      <c r="X1" s="64" t="s">
        <v>156</v>
      </c>
      <c r="Y1" s="64" t="s">
        <v>166</v>
      </c>
      <c r="Z1" s="64" t="s">
        <v>70</v>
      </c>
      <c r="AA1" s="64" t="s">
        <v>1</v>
      </c>
      <c r="AB1" s="64" t="s">
        <v>3</v>
      </c>
      <c r="AC1" s="64" t="s">
        <v>4</v>
      </c>
      <c r="AD1" s="64" t="s">
        <v>5</v>
      </c>
      <c r="AE1" s="64" t="s">
        <v>6</v>
      </c>
      <c r="AF1" s="64" t="s">
        <v>34</v>
      </c>
      <c r="AG1" s="64" t="s">
        <v>7</v>
      </c>
      <c r="AH1" s="64" t="s">
        <v>8</v>
      </c>
      <c r="AI1" s="64" t="s">
        <v>9</v>
      </c>
      <c r="AJ1" s="64" t="s">
        <v>35</v>
      </c>
      <c r="AK1" s="64" t="s">
        <v>10</v>
      </c>
      <c r="AL1" s="64" t="s">
        <v>11</v>
      </c>
      <c r="AM1" s="64" t="s">
        <v>12</v>
      </c>
      <c r="AN1" s="64" t="s">
        <v>36</v>
      </c>
      <c r="AO1" s="64" t="s">
        <v>13</v>
      </c>
      <c r="AP1" s="64" t="s">
        <v>14</v>
      </c>
      <c r="AQ1" s="64" t="s">
        <v>15</v>
      </c>
      <c r="AR1" s="64" t="s">
        <v>37</v>
      </c>
      <c r="AS1" s="64" t="s">
        <v>16</v>
      </c>
      <c r="AT1" s="64" t="s">
        <v>17</v>
      </c>
      <c r="AU1" s="64" t="s">
        <v>18</v>
      </c>
      <c r="AV1" s="64" t="s">
        <v>38</v>
      </c>
      <c r="AW1" s="64" t="s">
        <v>19</v>
      </c>
      <c r="AX1" s="64" t="s">
        <v>20</v>
      </c>
      <c r="AY1" s="64" t="s">
        <v>21</v>
      </c>
      <c r="AZ1" s="64" t="s">
        <v>39</v>
      </c>
      <c r="BA1" s="64" t="s">
        <v>22</v>
      </c>
      <c r="BB1" s="64" t="s">
        <v>23</v>
      </c>
      <c r="BC1" s="64" t="s">
        <v>24</v>
      </c>
      <c r="BD1" s="64" t="s">
        <v>40</v>
      </c>
      <c r="BE1" s="64" t="s">
        <v>25</v>
      </c>
      <c r="BF1" s="64" t="s">
        <v>26</v>
      </c>
      <c r="BG1" s="64" t="s">
        <v>27</v>
      </c>
      <c r="BH1" s="64" t="s">
        <v>41</v>
      </c>
      <c r="BI1" s="64" t="s">
        <v>28</v>
      </c>
      <c r="BJ1" s="64" t="s">
        <v>29</v>
      </c>
      <c r="BK1" s="64" t="s">
        <v>30</v>
      </c>
      <c r="BL1" s="64" t="s">
        <v>42</v>
      </c>
      <c r="BM1" s="64" t="s">
        <v>31</v>
      </c>
      <c r="BN1" s="64" t="s">
        <v>32</v>
      </c>
      <c r="BO1" s="64" t="s">
        <v>33</v>
      </c>
      <c r="BP1" s="64" t="s">
        <v>67</v>
      </c>
      <c r="BQ1" s="64" t="s">
        <v>56</v>
      </c>
      <c r="BR1" s="64" t="s">
        <v>57</v>
      </c>
      <c r="BS1" s="64" t="s">
        <v>58</v>
      </c>
      <c r="BT1" s="64" t="s">
        <v>59</v>
      </c>
      <c r="BU1" s="64" t="s">
        <v>71</v>
      </c>
      <c r="BV1" s="64" t="s">
        <v>134</v>
      </c>
      <c r="BW1" s="64" t="s">
        <v>78</v>
      </c>
      <c r="BX1" s="64" t="s">
        <v>79</v>
      </c>
      <c r="BY1" s="64" t="s">
        <v>80</v>
      </c>
      <c r="BZ1" s="64" t="s">
        <v>81</v>
      </c>
      <c r="CA1" s="64" t="s">
        <v>135</v>
      </c>
      <c r="CB1" s="64" t="s">
        <v>82</v>
      </c>
      <c r="CC1" s="64" t="s">
        <v>83</v>
      </c>
      <c r="CD1" s="64" t="s">
        <v>84</v>
      </c>
      <c r="CE1" s="64" t="s">
        <v>60</v>
      </c>
      <c r="CF1" s="64" t="s">
        <v>85</v>
      </c>
      <c r="CG1" s="64" t="s">
        <v>61</v>
      </c>
      <c r="CH1" s="64" t="s">
        <v>62</v>
      </c>
      <c r="CI1" s="64" t="s">
        <v>63</v>
      </c>
      <c r="CJ1" s="64" t="s">
        <v>64</v>
      </c>
      <c r="CK1" s="64" t="s">
        <v>65</v>
      </c>
      <c r="CL1" s="64" t="s">
        <v>66</v>
      </c>
      <c r="CM1" s="146" t="s">
        <v>575</v>
      </c>
      <c r="CN1" s="64" t="s">
        <v>68</v>
      </c>
      <c r="CO1" s="64" t="s">
        <v>72</v>
      </c>
      <c r="CP1" s="64" t="s">
        <v>73</v>
      </c>
      <c r="CQ1" s="64" t="s">
        <v>74</v>
      </c>
      <c r="CR1" s="64" t="s">
        <v>75</v>
      </c>
      <c r="CS1" s="64" t="s">
        <v>76</v>
      </c>
    </row>
    <row r="2" spans="1:97" s="69" customFormat="1" ht="13.5" x14ac:dyDescent="0.2">
      <c r="A2" s="7">
        <v>21</v>
      </c>
      <c r="B2" s="7" t="s">
        <v>91</v>
      </c>
      <c r="C2" s="120">
        <v>1976467.5599002184</v>
      </c>
      <c r="D2" s="14">
        <v>2345877</v>
      </c>
      <c r="E2" s="9">
        <f>D2/C2-1</f>
        <v>0.18690387213763882</v>
      </c>
      <c r="F2" s="123">
        <v>740859.29396959126</v>
      </c>
      <c r="G2" s="8">
        <v>1041569.388</v>
      </c>
      <c r="H2" s="9">
        <f t="shared" ref="H2:H39" si="0">G2/F2-1</f>
        <v>0.40589366493491208</v>
      </c>
      <c r="I2" s="123">
        <v>775744.90625415172</v>
      </c>
      <c r="J2" s="8">
        <v>811673.44199999992</v>
      </c>
      <c r="K2" s="9">
        <f t="shared" ref="K2:K39" si="1">J2/I2-1</f>
        <v>4.6314884514468524E-2</v>
      </c>
      <c r="L2" s="8"/>
      <c r="M2" s="8"/>
      <c r="N2" s="9" t="e">
        <f t="shared" ref="N2:N39" si="2">M2/L2-1</f>
        <v>#DIV/0!</v>
      </c>
      <c r="O2" s="123">
        <v>436152</v>
      </c>
      <c r="P2" s="8"/>
      <c r="Q2" s="9">
        <f t="shared" ref="Q2:Q39" si="3">P2/O2-1</f>
        <v>-1</v>
      </c>
      <c r="R2" s="137">
        <v>512636.48659367382</v>
      </c>
      <c r="S2" s="8"/>
      <c r="T2" s="9">
        <f t="shared" ref="T2:T39" si="4">S2/R2-1</f>
        <v>-1</v>
      </c>
      <c r="U2" s="132">
        <v>0.22378709635467373</v>
      </c>
      <c r="V2" s="9">
        <v>0.25900000000000001</v>
      </c>
      <c r="W2" s="9" t="str">
        <f t="shared" ref="W2:W39" si="5">IF(ISERROR(ROUND((V2-U2)*100,1) &amp; " pt(s)"),"NC",(ROUND((V2-U2)*100,1) &amp;" pt(s)"))</f>
        <v>3,5 pt(s)</v>
      </c>
      <c r="X2" s="8"/>
      <c r="Y2" s="66"/>
      <c r="Z2" s="9" t="e">
        <f t="shared" ref="Z2:Z39" si="6">Y2/X2-1</f>
        <v>#DIV/0!</v>
      </c>
      <c r="AA2" s="13" t="s">
        <v>91</v>
      </c>
      <c r="AB2" s="47" t="s">
        <v>569</v>
      </c>
      <c r="AC2" s="47">
        <v>128830</v>
      </c>
      <c r="AD2" s="47">
        <v>34011.120000000003</v>
      </c>
      <c r="AE2" s="47">
        <v>122903.81999999999</v>
      </c>
      <c r="AF2" s="47" t="s">
        <v>43</v>
      </c>
      <c r="AG2" s="47">
        <v>105388</v>
      </c>
      <c r="AH2" s="47">
        <v>36991.187999999995</v>
      </c>
      <c r="AI2" s="47">
        <v>27611.656000000003</v>
      </c>
      <c r="AJ2" s="47" t="s">
        <v>129</v>
      </c>
      <c r="AK2" s="47">
        <v>89204</v>
      </c>
      <c r="AL2" s="47">
        <v>43977.572</v>
      </c>
      <c r="AM2" s="47">
        <v>56198.52</v>
      </c>
      <c r="AN2" s="47" t="s">
        <v>570</v>
      </c>
      <c r="AO2" s="47">
        <v>85332</v>
      </c>
      <c r="AP2" s="47">
        <v>31914.168000000001</v>
      </c>
      <c r="AQ2" s="47">
        <v>57428.436000000002</v>
      </c>
      <c r="AR2" s="47" t="s">
        <v>571</v>
      </c>
      <c r="AS2" s="47">
        <v>83540</v>
      </c>
      <c r="AT2" s="47">
        <v>36005.74</v>
      </c>
      <c r="AU2" s="47">
        <v>34167.86</v>
      </c>
      <c r="AV2" s="47" t="s">
        <v>572</v>
      </c>
      <c r="AW2" s="47">
        <v>73163</v>
      </c>
      <c r="AX2" s="47">
        <v>26631.331999999999</v>
      </c>
      <c r="AY2" s="47">
        <v>61822.735000000001</v>
      </c>
      <c r="AZ2" s="47" t="s">
        <v>130</v>
      </c>
      <c r="BA2" s="47">
        <v>65618</v>
      </c>
      <c r="BB2" s="47">
        <v>50394.624000000003</v>
      </c>
      <c r="BC2" s="47">
        <v>13976.634</v>
      </c>
      <c r="BD2" s="47" t="s">
        <v>132</v>
      </c>
      <c r="BE2" s="47">
        <v>58531</v>
      </c>
      <c r="BF2" s="47">
        <v>28094.879999999997</v>
      </c>
      <c r="BG2" s="47">
        <v>13052.413</v>
      </c>
      <c r="BH2" s="47" t="s">
        <v>49</v>
      </c>
      <c r="BI2" s="47">
        <v>58125</v>
      </c>
      <c r="BJ2" s="47">
        <v>19065</v>
      </c>
      <c r="BK2" s="47">
        <v>27435</v>
      </c>
      <c r="BL2" s="47" t="s">
        <v>573</v>
      </c>
      <c r="BM2" s="47">
        <v>57442</v>
      </c>
      <c r="BN2" s="47">
        <v>12579.798000000001</v>
      </c>
      <c r="BO2" s="47">
        <v>21770.518</v>
      </c>
      <c r="BP2" s="13" t="s">
        <v>91</v>
      </c>
      <c r="BQ2" s="46">
        <v>233405</v>
      </c>
      <c r="BR2" s="46">
        <v>202904</v>
      </c>
      <c r="BS2" s="46">
        <v>141888</v>
      </c>
      <c r="BT2" s="46">
        <v>293756</v>
      </c>
      <c r="BU2" s="46">
        <v>1473924</v>
      </c>
      <c r="BV2" s="46">
        <v>94100</v>
      </c>
      <c r="BW2" s="46">
        <v>286642</v>
      </c>
      <c r="BX2" s="46">
        <v>87113</v>
      </c>
      <c r="BY2" s="46">
        <v>42430</v>
      </c>
      <c r="BZ2" s="46">
        <v>23799</v>
      </c>
      <c r="CA2" s="46">
        <v>332835</v>
      </c>
      <c r="CB2" s="46">
        <v>148376</v>
      </c>
      <c r="CC2" s="46">
        <v>262656</v>
      </c>
      <c r="CD2" s="46">
        <v>195973</v>
      </c>
      <c r="CE2" s="37">
        <f>SUM(BQ2:BU2)</f>
        <v>2345877</v>
      </c>
      <c r="CF2" s="46">
        <v>410569.37949973298</v>
      </c>
      <c r="CG2" s="46">
        <v>416845.95121429203</v>
      </c>
      <c r="CH2" s="46">
        <v>210156.71711188601</v>
      </c>
      <c r="CI2" s="46">
        <v>235854.49801487199</v>
      </c>
      <c r="CJ2" s="46">
        <v>322069.22401687398</v>
      </c>
      <c r="CK2" s="46">
        <v>227594.868106721</v>
      </c>
      <c r="CL2" s="46">
        <v>191432.07943905701</v>
      </c>
      <c r="CM2" s="46">
        <v>331354.08029171498</v>
      </c>
      <c r="CN2" s="34">
        <f>SUM(CF2:CM2)</f>
        <v>2345876.7976951501</v>
      </c>
      <c r="CO2" s="11"/>
      <c r="CP2" s="12"/>
      <c r="CQ2" s="10"/>
      <c r="CR2" s="10"/>
      <c r="CS2" s="10"/>
    </row>
    <row r="3" spans="1:97" s="70" customFormat="1" ht="13.5" x14ac:dyDescent="0.2">
      <c r="A3" s="5">
        <v>11</v>
      </c>
      <c r="B3" s="5" t="s">
        <v>108</v>
      </c>
      <c r="C3" s="119">
        <v>346628.30013340578</v>
      </c>
      <c r="D3" s="119">
        <f>SUM(D6:D13)</f>
        <v>418230.76325515198</v>
      </c>
      <c r="E3" s="122">
        <f>D3/C3-1</f>
        <v>0.2065684281813942</v>
      </c>
      <c r="F3" s="119">
        <v>123315.73538590031</v>
      </c>
      <c r="G3" s="119">
        <v>174692.15490525501</v>
      </c>
      <c r="H3" s="122">
        <f t="shared" si="0"/>
        <v>0.41662501025176546</v>
      </c>
      <c r="I3" s="125">
        <v>60114.812225620954</v>
      </c>
      <c r="J3" s="125">
        <v>61283.653614627998</v>
      </c>
      <c r="K3" s="122">
        <f t="shared" si="1"/>
        <v>1.9443483988940802E-2</v>
      </c>
      <c r="L3" s="24">
        <v>94213.064882124367</v>
      </c>
      <c r="M3" s="24">
        <v>108046.30866639402</v>
      </c>
      <c r="N3" s="25">
        <f t="shared" si="2"/>
        <v>0.14682935749492132</v>
      </c>
      <c r="O3" s="127">
        <v>434593.99999911682</v>
      </c>
      <c r="P3" s="127">
        <v>441046.99999994412</v>
      </c>
      <c r="Q3" s="122">
        <f t="shared" si="3"/>
        <v>1.4848341212350791E-2</v>
      </c>
      <c r="R3" s="129">
        <v>82001.729614629337</v>
      </c>
      <c r="S3" s="129">
        <v>99222.484663585594</v>
      </c>
      <c r="T3" s="25">
        <f t="shared" si="4"/>
        <v>0.21000477831243236</v>
      </c>
      <c r="U3" s="133">
        <f>R3/O3</f>
        <v>0.18868583002709652</v>
      </c>
      <c r="V3" s="133">
        <f>S3/P3</f>
        <v>0.22497031986069096</v>
      </c>
      <c r="W3" s="25" t="str">
        <f t="shared" si="5"/>
        <v>3,6 pt(s)</v>
      </c>
      <c r="X3" s="35">
        <v>5339508.0368476091</v>
      </c>
      <c r="Y3" s="35">
        <v>5705882.8760323022</v>
      </c>
      <c r="Z3" s="25">
        <f t="shared" si="6"/>
        <v>6.8615841882128992E-2</v>
      </c>
      <c r="AA3" s="47" t="s">
        <v>108</v>
      </c>
      <c r="AB3" s="47" t="s">
        <v>125</v>
      </c>
      <c r="AC3" s="47">
        <v>24892</v>
      </c>
      <c r="AD3" s="47">
        <v>13914.628000000001</v>
      </c>
      <c r="AE3" s="47">
        <v>323.596</v>
      </c>
      <c r="AF3" s="47" t="s">
        <v>131</v>
      </c>
      <c r="AG3" s="47">
        <v>15765</v>
      </c>
      <c r="AH3" s="47">
        <v>1576.5</v>
      </c>
      <c r="AI3" s="47">
        <v>6842.01</v>
      </c>
      <c r="AJ3" s="47" t="s">
        <v>43</v>
      </c>
      <c r="AK3" s="47">
        <v>15256</v>
      </c>
      <c r="AL3" s="47">
        <v>3264.7840000000001</v>
      </c>
      <c r="AM3" s="47">
        <v>3600.4159999999997</v>
      </c>
      <c r="AN3" s="47" t="s">
        <v>128</v>
      </c>
      <c r="AO3" s="47">
        <v>14950</v>
      </c>
      <c r="AP3" s="47">
        <v>4499.95</v>
      </c>
      <c r="AQ3" s="47">
        <v>2705.95</v>
      </c>
      <c r="AR3" s="47" t="s">
        <v>574</v>
      </c>
      <c r="AS3" s="47">
        <v>10545</v>
      </c>
      <c r="AT3" s="47">
        <v>2572.98</v>
      </c>
      <c r="AU3" s="47">
        <v>2615.16</v>
      </c>
      <c r="AV3" s="47" t="s">
        <v>44</v>
      </c>
      <c r="AW3" s="47">
        <v>9777</v>
      </c>
      <c r="AX3" s="47">
        <v>3940.1310000000003</v>
      </c>
      <c r="AY3" s="47">
        <v>1378.5569999999998</v>
      </c>
      <c r="AZ3" s="47" t="s">
        <v>570</v>
      </c>
      <c r="BA3" s="47">
        <v>9773</v>
      </c>
      <c r="BB3" s="47">
        <v>2013.2379999999998</v>
      </c>
      <c r="BC3" s="47">
        <v>5209.009</v>
      </c>
      <c r="BD3" s="47" t="s">
        <v>129</v>
      </c>
      <c r="BE3" s="47">
        <v>9405</v>
      </c>
      <c r="BF3" s="47">
        <v>4119.3900000000003</v>
      </c>
      <c r="BG3" s="47">
        <v>1918.62</v>
      </c>
      <c r="BH3" s="47" t="s">
        <v>132</v>
      </c>
      <c r="BI3" s="47">
        <v>9116</v>
      </c>
      <c r="BJ3" s="47">
        <v>4384.7960000000003</v>
      </c>
      <c r="BK3" s="47">
        <v>1677.3440000000001</v>
      </c>
      <c r="BL3" s="47" t="s">
        <v>48</v>
      </c>
      <c r="BM3" s="47">
        <v>8839</v>
      </c>
      <c r="BN3" s="47">
        <v>2634.0219999999999</v>
      </c>
      <c r="BO3" s="47">
        <v>1900.385</v>
      </c>
      <c r="BP3" s="47"/>
      <c r="BQ3" s="139">
        <v>5425.4231304423192</v>
      </c>
      <c r="BR3" s="139">
        <v>13497.431579391245</v>
      </c>
      <c r="BS3" s="139">
        <v>26484.996131912747</v>
      </c>
      <c r="BT3" s="139">
        <v>53813.574671817434</v>
      </c>
      <c r="BU3" s="139">
        <v>319009.33774159296</v>
      </c>
      <c r="BV3" s="139">
        <v>21074.289591339177</v>
      </c>
      <c r="BW3" s="139">
        <v>39300.835528726879</v>
      </c>
      <c r="BX3" s="139">
        <v>46668.500108502805</v>
      </c>
      <c r="BY3" s="139">
        <v>14635.64202706273</v>
      </c>
      <c r="BZ3" s="139">
        <v>6076.7776948313722</v>
      </c>
      <c r="CA3" s="139">
        <v>91765.697416973737</v>
      </c>
      <c r="CB3" s="139">
        <v>22040.733477603848</v>
      </c>
      <c r="CC3" s="139">
        <v>40892.634622825499</v>
      </c>
      <c r="CD3" s="139">
        <v>36554.227273727105</v>
      </c>
      <c r="CE3" s="140">
        <f t="shared" ref="CE3:CE39" si="7">SUM(BQ3:BU3)</f>
        <v>418230.76325515669</v>
      </c>
      <c r="CF3" s="37">
        <v>63215.137965037124</v>
      </c>
      <c r="CG3" s="37">
        <v>52052.391634147818</v>
      </c>
      <c r="CH3" s="37">
        <v>36850.127476923648</v>
      </c>
      <c r="CI3" s="37">
        <v>42776.338352613348</v>
      </c>
      <c r="CJ3" s="37">
        <v>60518.416542485058</v>
      </c>
      <c r="CK3" s="37">
        <v>43392.766051886487</v>
      </c>
      <c r="CL3" s="37">
        <v>39825.416895449503</v>
      </c>
      <c r="CM3" s="37">
        <v>79600.168336613875</v>
      </c>
      <c r="CN3" s="34">
        <f>SUM(CF3:CM3)</f>
        <v>418230.76325515687</v>
      </c>
      <c r="CO3" s="34"/>
      <c r="CP3" s="34"/>
      <c r="CQ3" s="34"/>
      <c r="CR3" s="34"/>
      <c r="CS3" s="34"/>
    </row>
    <row r="4" spans="1:97" s="70" customFormat="1" ht="13.5" x14ac:dyDescent="0.2">
      <c r="A4" s="5" t="s">
        <v>204</v>
      </c>
      <c r="B4" s="5"/>
      <c r="C4" s="73"/>
      <c r="D4" s="73"/>
      <c r="E4" s="74"/>
      <c r="F4" s="124"/>
      <c r="G4" s="124"/>
      <c r="H4" s="136"/>
      <c r="I4" s="126"/>
      <c r="J4" s="126"/>
      <c r="K4" s="136"/>
      <c r="L4" s="73"/>
      <c r="M4" s="73"/>
      <c r="N4" s="74"/>
      <c r="O4" s="128"/>
      <c r="P4" s="75"/>
      <c r="Q4" s="74"/>
      <c r="R4" s="130"/>
      <c r="S4" s="76"/>
      <c r="T4" s="74"/>
      <c r="U4" s="134"/>
      <c r="V4" s="77"/>
      <c r="W4" s="74"/>
      <c r="X4" s="78"/>
      <c r="Y4" s="78"/>
      <c r="Z4" s="74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37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</row>
    <row r="5" spans="1:97" s="70" customFormat="1" ht="13.5" x14ac:dyDescent="0.2">
      <c r="A5" s="5" t="s">
        <v>204</v>
      </c>
      <c r="B5" s="79" t="s">
        <v>203</v>
      </c>
      <c r="C5" s="73"/>
      <c r="D5" s="73"/>
      <c r="E5" s="74"/>
      <c r="F5" s="124"/>
      <c r="G5" s="124"/>
      <c r="H5" s="136"/>
      <c r="I5" s="126"/>
      <c r="J5" s="126"/>
      <c r="K5" s="136"/>
      <c r="L5" s="73"/>
      <c r="M5" s="73"/>
      <c r="N5" s="74"/>
      <c r="O5" s="128"/>
      <c r="P5" s="75"/>
      <c r="Q5" s="74"/>
      <c r="R5" s="130"/>
      <c r="S5" s="76"/>
      <c r="T5" s="74"/>
      <c r="U5" s="134"/>
      <c r="V5" s="77"/>
      <c r="W5" s="74"/>
      <c r="X5" s="78"/>
      <c r="Y5" s="78"/>
      <c r="Z5" s="74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37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</row>
    <row r="6" spans="1:97" s="71" customFormat="1" ht="13.5" x14ac:dyDescent="0.2">
      <c r="A6" s="3">
        <v>75</v>
      </c>
      <c r="B6" s="15" t="s">
        <v>98</v>
      </c>
      <c r="C6" s="118">
        <v>120278.9787035106</v>
      </c>
      <c r="D6" s="118">
        <v>142662.53799282</v>
      </c>
      <c r="E6" s="121">
        <f t="shared" ref="E6:E13" si="8">D6/C6-1</f>
        <v>0.18609701820369784</v>
      </c>
      <c r="F6" s="118">
        <v>40257.56995512337</v>
      </c>
      <c r="G6" s="118">
        <v>57339.518836212999</v>
      </c>
      <c r="H6" s="121">
        <f t="shared" si="0"/>
        <v>0.42431644284867476</v>
      </c>
      <c r="I6" s="118">
        <v>27473.315541752032</v>
      </c>
      <c r="J6" s="118">
        <v>23911.367071461995</v>
      </c>
      <c r="K6" s="121">
        <f t="shared" si="1"/>
        <v>-0.12965120518041717</v>
      </c>
      <c r="L6" s="72"/>
      <c r="M6" s="72"/>
      <c r="N6" s="27" t="e">
        <f t="shared" si="2"/>
        <v>#DIV/0!</v>
      </c>
      <c r="O6" s="118">
        <v>157648.99999918544</v>
      </c>
      <c r="P6" s="118">
        <v>159336.99999999991</v>
      </c>
      <c r="Q6" s="121">
        <f t="shared" si="3"/>
        <v>1.0707330847789631E-2</v>
      </c>
      <c r="R6" s="118">
        <v>26388.65813137059</v>
      </c>
      <c r="S6" s="118">
        <v>32360.861874812523</v>
      </c>
      <c r="T6" s="121">
        <f t="shared" si="4"/>
        <v>0.22631706825373721</v>
      </c>
      <c r="U6" s="135">
        <f>R6/O6</f>
        <v>0.16738868074968402</v>
      </c>
      <c r="V6" s="135">
        <f>S6/P6</f>
        <v>0.20309696978612965</v>
      </c>
      <c r="W6" s="27" t="str">
        <f t="shared" si="5"/>
        <v>3,6 pt(s)</v>
      </c>
      <c r="X6" s="72"/>
      <c r="Y6" s="72"/>
      <c r="Z6" s="27" t="e">
        <f t="shared" si="6"/>
        <v>#DIV/0!</v>
      </c>
      <c r="AA6" s="47" t="s">
        <v>98</v>
      </c>
      <c r="AB6" s="47" t="s">
        <v>125</v>
      </c>
      <c r="AC6" s="47">
        <v>8968.2799630015652</v>
      </c>
      <c r="AD6" s="47">
        <v>6349.9032847044473</v>
      </c>
      <c r="AE6" s="47">
        <v>212.75649612872681</v>
      </c>
      <c r="AF6" s="47" t="s">
        <v>131</v>
      </c>
      <c r="AG6" s="47">
        <v>8337.5864804600169</v>
      </c>
      <c r="AH6" s="47">
        <v>786.55288886698031</v>
      </c>
      <c r="AI6" s="47">
        <v>4544.1064340914563</v>
      </c>
      <c r="AJ6" s="47" t="s">
        <v>128</v>
      </c>
      <c r="AK6" s="47">
        <v>6842.7403844195815</v>
      </c>
      <c r="AL6" s="47">
        <v>1591.1931562832972</v>
      </c>
      <c r="AM6" s="47">
        <v>675.45005825584121</v>
      </c>
      <c r="AN6" s="47" t="s">
        <v>50</v>
      </c>
      <c r="AO6" s="47">
        <v>6614.1308132902932</v>
      </c>
      <c r="AP6" s="47">
        <v>1439.9040470866812</v>
      </c>
      <c r="AQ6" s="47">
        <v>1518.115902284213</v>
      </c>
      <c r="AR6" s="47" t="s">
        <v>129</v>
      </c>
      <c r="AS6" s="47">
        <v>5628.3362155383638</v>
      </c>
      <c r="AT6" s="47">
        <v>2446.406396738596</v>
      </c>
      <c r="AU6" s="47">
        <v>1015.5372141308943</v>
      </c>
      <c r="AV6" s="47" t="s">
        <v>47</v>
      </c>
      <c r="AW6" s="47">
        <v>4214.227717602269</v>
      </c>
      <c r="AX6" s="47">
        <v>2049.8620556122328</v>
      </c>
      <c r="AY6" s="47">
        <v>99.617811372344619</v>
      </c>
      <c r="AZ6" s="47" t="s">
        <v>44</v>
      </c>
      <c r="BA6" s="47">
        <v>4014.7139393799921</v>
      </c>
      <c r="BB6" s="47">
        <v>1467.8921277664595</v>
      </c>
      <c r="BC6" s="47">
        <v>514.54953178083565</v>
      </c>
      <c r="BD6" s="47" t="s">
        <v>51</v>
      </c>
      <c r="BE6" s="47">
        <v>3716.4257816913318</v>
      </c>
      <c r="BF6" s="47">
        <v>708.02196396946965</v>
      </c>
      <c r="BG6" s="47">
        <v>2054.8586063665598</v>
      </c>
      <c r="BH6" s="47" t="s">
        <v>48</v>
      </c>
      <c r="BI6" s="47">
        <v>3362.6994605945692</v>
      </c>
      <c r="BJ6" s="47">
        <v>1508.0383834827958</v>
      </c>
      <c r="BK6" s="47">
        <v>1257.7754565975706</v>
      </c>
      <c r="BL6" s="47" t="s">
        <v>192</v>
      </c>
      <c r="BM6" s="47">
        <v>3311.7101714153068</v>
      </c>
      <c r="BN6" s="47">
        <v>1705.5470376386768</v>
      </c>
      <c r="BO6" s="47">
        <v>523.4720677407422</v>
      </c>
      <c r="BP6" s="47"/>
      <c r="BQ6" s="138">
        <v>1084.0877490265868</v>
      </c>
      <c r="BR6" s="138">
        <v>2246.6997769607451</v>
      </c>
      <c r="BS6" s="138">
        <v>3868.2425195430105</v>
      </c>
      <c r="BT6" s="138">
        <v>17248.435902929756</v>
      </c>
      <c r="BU6" s="138">
        <v>118215.07204435756</v>
      </c>
      <c r="BV6" s="138">
        <v>3077.0192779974209</v>
      </c>
      <c r="BW6" s="138">
        <v>19692.158775669312</v>
      </c>
      <c r="BX6" s="138">
        <v>21648.71430902883</v>
      </c>
      <c r="BY6" s="138">
        <v>5738.1929771436216</v>
      </c>
      <c r="BZ6" s="138">
        <v>2460.6420548396836</v>
      </c>
      <c r="CA6" s="138">
        <v>31152.49017729659</v>
      </c>
      <c r="CB6" s="138">
        <v>6275.7048254655865</v>
      </c>
      <c r="CC6" s="138">
        <v>11917.202539609254</v>
      </c>
      <c r="CD6" s="138">
        <v>16252.947107307384</v>
      </c>
      <c r="CE6" s="140">
        <f t="shared" si="7"/>
        <v>142662.53799281764</v>
      </c>
      <c r="CF6" s="33">
        <v>25479.713496672288</v>
      </c>
      <c r="CG6" s="33">
        <v>18133.68760552246</v>
      </c>
      <c r="CH6" s="33">
        <v>14380.773786034695</v>
      </c>
      <c r="CI6" s="33">
        <v>14516.363351928048</v>
      </c>
      <c r="CJ6" s="33">
        <v>21596.978590062517</v>
      </c>
      <c r="CK6" s="33">
        <v>14598.265688257105</v>
      </c>
      <c r="CL6" s="33">
        <v>14679.418427689066</v>
      </c>
      <c r="CM6" s="33">
        <v>19277.337046651526</v>
      </c>
      <c r="CN6" s="34">
        <f t="shared" ref="CN6:CN13" si="9">SUM(CF6:CM6)</f>
        <v>142662.5379928177</v>
      </c>
      <c r="CO6" s="39"/>
      <c r="CP6" s="40"/>
      <c r="CQ6" s="41"/>
      <c r="CR6" s="41"/>
      <c r="CS6" s="41"/>
    </row>
    <row r="7" spans="1:97" s="71" customFormat="1" ht="13.5" x14ac:dyDescent="0.2">
      <c r="A7" s="3">
        <v>77</v>
      </c>
      <c r="B7" s="15" t="s">
        <v>99</v>
      </c>
      <c r="C7" s="118">
        <v>23922.598295182888</v>
      </c>
      <c r="D7" s="118">
        <v>32432.079203663001</v>
      </c>
      <c r="E7" s="121">
        <f t="shared" si="8"/>
        <v>0.35570889096079505</v>
      </c>
      <c r="F7" s="118">
        <v>9654.3166170560653</v>
      </c>
      <c r="G7" s="118">
        <v>15766.781724768998</v>
      </c>
      <c r="H7" s="121">
        <f t="shared" si="0"/>
        <v>0.6331328617205465</v>
      </c>
      <c r="I7" s="118">
        <v>4450.7547005171427</v>
      </c>
      <c r="J7" s="118">
        <v>5594.3815576670004</v>
      </c>
      <c r="K7" s="121">
        <f t="shared" si="1"/>
        <v>0.25695122155731864</v>
      </c>
      <c r="L7" s="72"/>
      <c r="M7" s="72"/>
      <c r="N7" s="27" t="e">
        <f t="shared" si="2"/>
        <v>#DIV/0!</v>
      </c>
      <c r="O7" s="118">
        <v>38370.556356192406</v>
      </c>
      <c r="P7" s="118">
        <v>38973.622892622574</v>
      </c>
      <c r="Q7" s="121">
        <f t="shared" si="3"/>
        <v>1.571690884103738E-2</v>
      </c>
      <c r="R7" s="118">
        <v>7396.183501083111</v>
      </c>
      <c r="S7" s="118">
        <v>9105.6655409270752</v>
      </c>
      <c r="T7" s="121">
        <f t="shared" si="4"/>
        <v>0.23113029031711085</v>
      </c>
      <c r="U7" s="135">
        <f t="shared" ref="U7:U13" si="10">R7/O7</f>
        <v>0.19275674380180008</v>
      </c>
      <c r="V7" s="135">
        <f t="shared" ref="V7:V13" si="11">S7/P7</f>
        <v>0.23363662049110431</v>
      </c>
      <c r="W7" s="27" t="str">
        <f t="shared" si="5"/>
        <v>4,1 pt(s)</v>
      </c>
      <c r="X7" s="72"/>
      <c r="Y7" s="72"/>
      <c r="Z7" s="27" t="e">
        <f t="shared" si="6"/>
        <v>#DIV/0!</v>
      </c>
      <c r="AA7" s="47" t="s">
        <v>99</v>
      </c>
      <c r="AB7" s="47" t="s">
        <v>128</v>
      </c>
      <c r="AC7" s="47">
        <v>1569.9406778118835</v>
      </c>
      <c r="AD7" s="47">
        <v>281.64840685179661</v>
      </c>
      <c r="AE7" s="47">
        <v>455.31499769411602</v>
      </c>
      <c r="AF7" s="47" t="s">
        <v>55</v>
      </c>
      <c r="AG7" s="47">
        <v>1416.9884064412745</v>
      </c>
      <c r="AH7" s="47">
        <v>526.84723713726771</v>
      </c>
      <c r="AI7" s="47">
        <v>135.92426220776878</v>
      </c>
      <c r="AJ7" s="47" t="s">
        <v>49</v>
      </c>
      <c r="AK7" s="47">
        <v>1386.4736804301178</v>
      </c>
      <c r="AL7" s="47">
        <v>640.58536555042042</v>
      </c>
      <c r="AM7" s="47">
        <v>457.16130951520086</v>
      </c>
      <c r="AN7" s="47" t="s">
        <v>43</v>
      </c>
      <c r="AO7" s="47">
        <v>1090.5626076585245</v>
      </c>
      <c r="AP7" s="47">
        <v>159.11323990782446</v>
      </c>
      <c r="AQ7" s="47">
        <v>215.02129396983548</v>
      </c>
      <c r="AR7" s="47" t="s">
        <v>130</v>
      </c>
      <c r="AS7" s="47">
        <v>926.38436308067105</v>
      </c>
      <c r="AT7" s="47">
        <v>834.52806056341001</v>
      </c>
      <c r="AU7" s="47">
        <v>66.971196159481096</v>
      </c>
      <c r="AV7" s="47" t="s">
        <v>54</v>
      </c>
      <c r="AW7" s="47">
        <v>908.43299121796463</v>
      </c>
      <c r="AX7" s="47">
        <v>755.0542417059047</v>
      </c>
      <c r="AY7" s="47">
        <v>201.10289271759348</v>
      </c>
      <c r="AZ7" s="47" t="s">
        <v>132</v>
      </c>
      <c r="BA7" s="47">
        <v>872.43363902166868</v>
      </c>
      <c r="BB7" s="47">
        <v>383.09820572474553</v>
      </c>
      <c r="BC7" s="47">
        <v>149.3533504753664</v>
      </c>
      <c r="BD7" s="47" t="s">
        <v>129</v>
      </c>
      <c r="BE7" s="47">
        <v>697.73360037923601</v>
      </c>
      <c r="BF7" s="47">
        <v>353.23419940908281</v>
      </c>
      <c r="BG7" s="47">
        <v>309.30172896359238</v>
      </c>
      <c r="BH7" s="47" t="s">
        <v>50</v>
      </c>
      <c r="BI7" s="47">
        <v>696.99456610009952</v>
      </c>
      <c r="BJ7" s="47">
        <v>213.83181074176014</v>
      </c>
      <c r="BK7" s="47">
        <v>222.35566653693118</v>
      </c>
      <c r="BL7" s="47" t="s">
        <v>123</v>
      </c>
      <c r="BM7" s="47">
        <v>652.44818398163443</v>
      </c>
      <c r="BN7" s="47">
        <v>381.59617396569115</v>
      </c>
      <c r="BO7" s="47">
        <v>42.281845529368852</v>
      </c>
      <c r="BP7" s="47"/>
      <c r="BQ7" s="138">
        <v>1100.433347476283</v>
      </c>
      <c r="BR7" s="138">
        <v>1837.5816969232535</v>
      </c>
      <c r="BS7" s="138">
        <v>2949.9793505610437</v>
      </c>
      <c r="BT7" s="138">
        <v>6373.2013391697728</v>
      </c>
      <c r="BU7" s="138">
        <v>20170.883469531545</v>
      </c>
      <c r="BV7" s="138">
        <v>4028.17356153941</v>
      </c>
      <c r="BW7" s="138">
        <v>3175.459844224687</v>
      </c>
      <c r="BX7" s="138">
        <v>629.92116666282391</v>
      </c>
      <c r="BY7" s="138">
        <v>737.45981548628538</v>
      </c>
      <c r="BZ7" s="138">
        <v>586.2074645256597</v>
      </c>
      <c r="CA7" s="138">
        <v>4070.5511485204206</v>
      </c>
      <c r="CB7" s="138">
        <v>1980.7981598323149</v>
      </c>
      <c r="CC7" s="138">
        <v>3229.2452661244788</v>
      </c>
      <c r="CD7" s="138">
        <v>1733.0670426154661</v>
      </c>
      <c r="CE7" s="140">
        <f t="shared" si="7"/>
        <v>32432.079203661899</v>
      </c>
      <c r="CF7" s="33">
        <v>4138.319881131335</v>
      </c>
      <c r="CG7" s="33">
        <v>4886.8782024764914</v>
      </c>
      <c r="CH7" s="33">
        <v>2790.9881622565863</v>
      </c>
      <c r="CI7" s="33">
        <v>4066.4250137250783</v>
      </c>
      <c r="CJ7" s="33">
        <v>4682.5508780754117</v>
      </c>
      <c r="CK7" s="33">
        <v>3662.5539463407599</v>
      </c>
      <c r="CL7" s="33">
        <v>3759.8663997719073</v>
      </c>
      <c r="CM7" s="33">
        <v>4444.4967198843324</v>
      </c>
      <c r="CN7" s="34">
        <f t="shared" si="9"/>
        <v>32432.079203661902</v>
      </c>
      <c r="CO7" s="39"/>
      <c r="CP7" s="40"/>
      <c r="CQ7" s="41"/>
      <c r="CR7" s="41"/>
      <c r="CS7" s="41"/>
    </row>
    <row r="8" spans="1:97" s="71" customFormat="1" ht="13.5" x14ac:dyDescent="0.2">
      <c r="A8" s="3">
        <v>78</v>
      </c>
      <c r="B8" s="15" t="s">
        <v>100</v>
      </c>
      <c r="C8" s="118">
        <v>30945.199017306473</v>
      </c>
      <c r="D8" s="118">
        <v>40820.761415962006</v>
      </c>
      <c r="E8" s="121">
        <f t="shared" si="8"/>
        <v>0.31913067979082976</v>
      </c>
      <c r="F8" s="118">
        <v>11643.573062171925</v>
      </c>
      <c r="G8" s="118">
        <v>17494.678072520997</v>
      </c>
      <c r="H8" s="121">
        <f t="shared" si="0"/>
        <v>0.50251799676152342</v>
      </c>
      <c r="I8" s="118">
        <v>4293.988746470457</v>
      </c>
      <c r="J8" s="118">
        <v>6096.8288192710006</v>
      </c>
      <c r="K8" s="121">
        <f t="shared" si="1"/>
        <v>0.41985207210485354</v>
      </c>
      <c r="L8" s="72"/>
      <c r="M8" s="72"/>
      <c r="N8" s="27" t="e">
        <f t="shared" si="2"/>
        <v>#DIV/0!</v>
      </c>
      <c r="O8" s="118">
        <v>38523.705886310192</v>
      </c>
      <c r="P8" s="118">
        <v>39016.866496041053</v>
      </c>
      <c r="Q8" s="121">
        <f t="shared" si="3"/>
        <v>1.280148413515203E-2</v>
      </c>
      <c r="R8" s="118">
        <v>8040.7874386736758</v>
      </c>
      <c r="S8" s="118">
        <v>9335.1174062169448</v>
      </c>
      <c r="T8" s="121">
        <f t="shared" si="4"/>
        <v>0.16097054889399831</v>
      </c>
      <c r="U8" s="135">
        <f t="shared" si="10"/>
        <v>0.20872310318232012</v>
      </c>
      <c r="V8" s="135">
        <f t="shared" si="11"/>
        <v>0.23925851162763562</v>
      </c>
      <c r="W8" s="27" t="str">
        <f t="shared" si="5"/>
        <v>3,1 pt(s)</v>
      </c>
      <c r="X8" s="72"/>
      <c r="Y8" s="72"/>
      <c r="Z8" s="27" t="e">
        <f t="shared" si="6"/>
        <v>#DIV/0!</v>
      </c>
      <c r="AA8" s="47" t="s">
        <v>100</v>
      </c>
      <c r="AB8" s="47" t="s">
        <v>125</v>
      </c>
      <c r="AC8" s="47">
        <v>4136.9770257701875</v>
      </c>
      <c r="AD8" s="47">
        <v>913.08493628221981</v>
      </c>
      <c r="AE8" s="47">
        <v>0</v>
      </c>
      <c r="AF8" s="47" t="s">
        <v>43</v>
      </c>
      <c r="AG8" s="47">
        <v>2255.8725409394174</v>
      </c>
      <c r="AH8" s="47">
        <v>578.65701998651002</v>
      </c>
      <c r="AI8" s="47">
        <v>885.73055533401418</v>
      </c>
      <c r="AJ8" s="47" t="s">
        <v>130</v>
      </c>
      <c r="AK8" s="47">
        <v>1446.9631798580615</v>
      </c>
      <c r="AL8" s="47">
        <v>1243.7837954589809</v>
      </c>
      <c r="AM8" s="47">
        <v>84.333956628713736</v>
      </c>
      <c r="AN8" s="47" t="s">
        <v>132</v>
      </c>
      <c r="AO8" s="47">
        <v>1433.2051574235597</v>
      </c>
      <c r="AP8" s="47">
        <v>880.85003454995422</v>
      </c>
      <c r="AQ8" s="47">
        <v>575.96951535005905</v>
      </c>
      <c r="AR8" s="47" t="s">
        <v>126</v>
      </c>
      <c r="AS8" s="47">
        <v>1375.7970259046651</v>
      </c>
      <c r="AT8" s="47">
        <v>535.49624560458915</v>
      </c>
      <c r="AU8" s="47">
        <v>8.7611520946517825</v>
      </c>
      <c r="AV8" s="47" t="s">
        <v>225</v>
      </c>
      <c r="AW8" s="47">
        <v>1082.9215160398639</v>
      </c>
      <c r="AX8" s="47">
        <v>43.111782343898589</v>
      </c>
      <c r="AY8" s="47">
        <v>2.2910970164571474</v>
      </c>
      <c r="AZ8" s="47" t="s">
        <v>55</v>
      </c>
      <c r="BA8" s="47">
        <v>1010.6793614000063</v>
      </c>
      <c r="BB8" s="47">
        <v>122.00846168415698</v>
      </c>
      <c r="BC8" s="47">
        <v>221.62374047598928</v>
      </c>
      <c r="BD8" s="47" t="s">
        <v>128</v>
      </c>
      <c r="BE8" s="47">
        <v>1006.6230694720927</v>
      </c>
      <c r="BF8" s="47">
        <v>478.26684511858798</v>
      </c>
      <c r="BG8" s="47">
        <v>223.6424040297232</v>
      </c>
      <c r="BH8" s="47" t="s">
        <v>45</v>
      </c>
      <c r="BI8" s="47">
        <v>812.57656462948523</v>
      </c>
      <c r="BJ8" s="47">
        <v>247.75064329956496</v>
      </c>
      <c r="BK8" s="47">
        <v>311.38904195745914</v>
      </c>
      <c r="BL8" s="47" t="s">
        <v>44</v>
      </c>
      <c r="BM8" s="47">
        <v>788.55802600973811</v>
      </c>
      <c r="BN8" s="47">
        <v>454.89362547059102</v>
      </c>
      <c r="BO8" s="47">
        <v>50.843843802289598</v>
      </c>
      <c r="BP8" s="47"/>
      <c r="BQ8" s="138">
        <v>841.25758195135074</v>
      </c>
      <c r="BR8" s="138">
        <v>1936.5015223910746</v>
      </c>
      <c r="BS8" s="138">
        <v>2529.091952340128</v>
      </c>
      <c r="BT8" s="138">
        <v>5721.3239850008958</v>
      </c>
      <c r="BU8" s="138">
        <v>29792.586374278559</v>
      </c>
      <c r="BV8" s="138">
        <v>1407.5936477201421</v>
      </c>
      <c r="BW8" s="138">
        <v>2544.7076399737421</v>
      </c>
      <c r="BX8" s="138">
        <v>2272.6837519581718</v>
      </c>
      <c r="BY8" s="138">
        <v>790.58230550926783</v>
      </c>
      <c r="BZ8" s="138">
        <v>495.96986433006612</v>
      </c>
      <c r="CA8" s="138">
        <v>12542.886955901346</v>
      </c>
      <c r="CB8" s="138">
        <v>2261.7512940793936</v>
      </c>
      <c r="CC8" s="138">
        <v>5218.5210195707123</v>
      </c>
      <c r="CD8" s="138">
        <v>2257.889895235709</v>
      </c>
      <c r="CE8" s="140">
        <f t="shared" si="7"/>
        <v>40820.761415962006</v>
      </c>
      <c r="CF8" s="33">
        <v>4376.1556215458795</v>
      </c>
      <c r="CG8" s="33">
        <v>5022.0039978582199</v>
      </c>
      <c r="CH8" s="33">
        <v>3618.1254717726142</v>
      </c>
      <c r="CI8" s="33">
        <v>3743.7532189388212</v>
      </c>
      <c r="CJ8" s="33">
        <v>5652.3580650436452</v>
      </c>
      <c r="CK8" s="33">
        <v>4567.3941826379614</v>
      </c>
      <c r="CL8" s="33">
        <v>2871.441940337626</v>
      </c>
      <c r="CM8" s="33">
        <v>10969.528917827229</v>
      </c>
      <c r="CN8" s="34">
        <f t="shared" si="9"/>
        <v>40820.761415961999</v>
      </c>
      <c r="CO8" s="39"/>
      <c r="CP8" s="40"/>
      <c r="CQ8" s="41"/>
      <c r="CR8" s="41"/>
      <c r="CS8" s="41"/>
    </row>
    <row r="9" spans="1:97" s="71" customFormat="1" ht="13.5" x14ac:dyDescent="0.2">
      <c r="A9" s="3">
        <v>91</v>
      </c>
      <c r="B9" s="15" t="s">
        <v>101</v>
      </c>
      <c r="C9" s="118">
        <v>26323.06215596175</v>
      </c>
      <c r="D9" s="118">
        <v>30294.227736253004</v>
      </c>
      <c r="E9" s="121">
        <f t="shared" si="8"/>
        <v>0.15086259937246127</v>
      </c>
      <c r="F9" s="118">
        <v>9312.600812950257</v>
      </c>
      <c r="G9" s="118">
        <v>13048.475632062</v>
      </c>
      <c r="H9" s="121">
        <f t="shared" si="0"/>
        <v>0.40116342299527896</v>
      </c>
      <c r="I9" s="118">
        <v>3351.358293057323</v>
      </c>
      <c r="J9" s="118">
        <v>4494.918912956</v>
      </c>
      <c r="K9" s="121">
        <f t="shared" si="1"/>
        <v>0.34122302657632231</v>
      </c>
      <c r="L9" s="72"/>
      <c r="M9" s="72"/>
      <c r="N9" s="27" t="e">
        <f t="shared" si="2"/>
        <v>#DIV/0!</v>
      </c>
      <c r="O9" s="118">
        <v>32396.961459356036</v>
      </c>
      <c r="P9" s="118">
        <v>33059.688637446103</v>
      </c>
      <c r="Q9" s="121">
        <f t="shared" si="3"/>
        <v>2.0456460983895086E-2</v>
      </c>
      <c r="R9" s="118">
        <v>6902.1902435601141</v>
      </c>
      <c r="S9" s="118">
        <v>7701.9884694117936</v>
      </c>
      <c r="T9" s="121">
        <f t="shared" si="4"/>
        <v>0.11587600422893418</v>
      </c>
      <c r="U9" s="135">
        <f t="shared" si="10"/>
        <v>0.21305054340418106</v>
      </c>
      <c r="V9" s="135">
        <f t="shared" si="11"/>
        <v>0.23297220230585877</v>
      </c>
      <c r="W9" s="27" t="str">
        <f t="shared" si="5"/>
        <v>2 pt(s)</v>
      </c>
      <c r="X9" s="72"/>
      <c r="Y9" s="72"/>
      <c r="Z9" s="27" t="e">
        <f t="shared" si="6"/>
        <v>#DIV/0!</v>
      </c>
      <c r="AA9" s="47" t="s">
        <v>101</v>
      </c>
      <c r="AB9" s="47" t="s">
        <v>43</v>
      </c>
      <c r="AC9" s="47">
        <v>2377.4828381964589</v>
      </c>
      <c r="AD9" s="47">
        <v>70.45373906453662</v>
      </c>
      <c r="AE9" s="47">
        <v>415.06805868100741</v>
      </c>
      <c r="AF9" s="47" t="s">
        <v>128</v>
      </c>
      <c r="AG9" s="47">
        <v>1508.3462946438892</v>
      </c>
      <c r="AH9" s="47">
        <v>855.96148883767057</v>
      </c>
      <c r="AI9" s="47">
        <v>601.39734714345741</v>
      </c>
      <c r="AJ9" s="47" t="s">
        <v>132</v>
      </c>
      <c r="AK9" s="47">
        <v>1354.0364120767047</v>
      </c>
      <c r="AL9" s="47">
        <v>945.44405444179176</v>
      </c>
      <c r="AM9" s="47">
        <v>214.39672414149382</v>
      </c>
      <c r="AN9" s="47" t="s">
        <v>49</v>
      </c>
      <c r="AO9" s="47">
        <v>1343.9297600751815</v>
      </c>
      <c r="AP9" s="47">
        <v>286.76190322413981</v>
      </c>
      <c r="AQ9" s="47">
        <v>327.01065410633112</v>
      </c>
      <c r="AR9" s="47" t="s">
        <v>55</v>
      </c>
      <c r="AS9" s="47">
        <v>748.74677853726007</v>
      </c>
      <c r="AT9" s="47">
        <v>178.39745101824656</v>
      </c>
      <c r="AU9" s="47">
        <v>131.6386515026272</v>
      </c>
      <c r="AV9" s="47" t="s">
        <v>45</v>
      </c>
      <c r="AW9" s="47">
        <v>673.3967733347904</v>
      </c>
      <c r="AX9" s="47">
        <v>164.91518138440995</v>
      </c>
      <c r="AY9" s="47">
        <v>353.40388767100484</v>
      </c>
      <c r="AZ9" s="47" t="s">
        <v>226</v>
      </c>
      <c r="BA9" s="47">
        <v>649.93091931341473</v>
      </c>
      <c r="BB9" s="47">
        <v>15.874950637222591</v>
      </c>
      <c r="BC9" s="47">
        <v>17.116987869749146</v>
      </c>
      <c r="BD9" s="47" t="s">
        <v>46</v>
      </c>
      <c r="BE9" s="47">
        <v>641.87569309510855</v>
      </c>
      <c r="BF9" s="47">
        <v>349.55877941369556</v>
      </c>
      <c r="BG9" s="47">
        <v>7.605177988083434</v>
      </c>
      <c r="BH9" s="47" t="s">
        <v>130</v>
      </c>
      <c r="BI9" s="47">
        <v>625.8016640250712</v>
      </c>
      <c r="BJ9" s="47">
        <v>542.42052118146717</v>
      </c>
      <c r="BK9" s="47">
        <v>95.731350380374423</v>
      </c>
      <c r="BL9" s="47" t="s">
        <v>125</v>
      </c>
      <c r="BM9" s="47">
        <v>624.19542051199949</v>
      </c>
      <c r="BN9" s="47">
        <v>292.37806651218449</v>
      </c>
      <c r="BO9" s="47">
        <v>3.4179120722143774</v>
      </c>
      <c r="BP9" s="47"/>
      <c r="BQ9" s="138">
        <v>470.7426669891347</v>
      </c>
      <c r="BR9" s="138">
        <v>1825.8693356395659</v>
      </c>
      <c r="BS9" s="138">
        <v>2964.3060209264831</v>
      </c>
      <c r="BT9" s="138">
        <v>3993.8863076846155</v>
      </c>
      <c r="BU9" s="138">
        <v>21039.423405016543</v>
      </c>
      <c r="BV9" s="138">
        <v>2477.158449457902</v>
      </c>
      <c r="BW9" s="138">
        <v>2933.6280650539229</v>
      </c>
      <c r="BX9" s="138">
        <v>855.78560058661037</v>
      </c>
      <c r="BY9" s="138">
        <v>373.62639046436124</v>
      </c>
      <c r="BZ9" s="138">
        <v>292.26587149957828</v>
      </c>
      <c r="CA9" s="138">
        <v>6306.5140954828203</v>
      </c>
      <c r="CB9" s="138">
        <v>1912.5038048838419</v>
      </c>
      <c r="CC9" s="138">
        <v>3780.4023055466869</v>
      </c>
      <c r="CD9" s="138">
        <v>2107.5388220408145</v>
      </c>
      <c r="CE9" s="140">
        <f t="shared" si="7"/>
        <v>30294.227736256344</v>
      </c>
      <c r="CF9" s="33">
        <v>3243.7944306042027</v>
      </c>
      <c r="CG9" s="33">
        <v>3221.2833684238999</v>
      </c>
      <c r="CH9" s="33">
        <v>2550.2514077303263</v>
      </c>
      <c r="CI9" s="33">
        <v>3525.7053532201003</v>
      </c>
      <c r="CJ9" s="33">
        <v>4934.4391815795834</v>
      </c>
      <c r="CK9" s="33">
        <v>4040.5974081680783</v>
      </c>
      <c r="CL9" s="33">
        <v>3035.7346688121002</v>
      </c>
      <c r="CM9" s="33">
        <v>5742.4219177180503</v>
      </c>
      <c r="CN9" s="34">
        <f t="shared" si="9"/>
        <v>30294.22773625634</v>
      </c>
      <c r="CO9" s="39"/>
      <c r="CP9" s="40"/>
      <c r="CQ9" s="41"/>
      <c r="CR9" s="41"/>
      <c r="CS9" s="41"/>
    </row>
    <row r="10" spans="1:97" s="71" customFormat="1" ht="13.5" x14ac:dyDescent="0.2">
      <c r="A10" s="3">
        <v>92</v>
      </c>
      <c r="B10" s="16" t="s">
        <v>114</v>
      </c>
      <c r="C10" s="118">
        <v>65779.541242160762</v>
      </c>
      <c r="D10" s="118">
        <v>77321.260744822008</v>
      </c>
      <c r="E10" s="121">
        <f t="shared" si="8"/>
        <v>0.17546062627848924</v>
      </c>
      <c r="F10" s="118">
        <v>23570.555898105737</v>
      </c>
      <c r="G10" s="118">
        <v>32914.059352939999</v>
      </c>
      <c r="H10" s="121">
        <f t="shared" si="0"/>
        <v>0.39640573159265879</v>
      </c>
      <c r="I10" s="118">
        <v>8094.5318328224039</v>
      </c>
      <c r="J10" s="118">
        <v>7154.2517264529997</v>
      </c>
      <c r="K10" s="121">
        <f t="shared" si="1"/>
        <v>-0.11616238292580128</v>
      </c>
      <c r="L10" s="72"/>
      <c r="M10" s="72"/>
      <c r="N10" s="27" t="e">
        <f t="shared" si="2"/>
        <v>#DIV/0!</v>
      </c>
      <c r="O10" s="118">
        <v>52120.060672828942</v>
      </c>
      <c r="P10" s="118">
        <v>53290.522113222585</v>
      </c>
      <c r="Q10" s="121">
        <f t="shared" si="3"/>
        <v>2.2457023750239502E-2</v>
      </c>
      <c r="R10" s="118">
        <v>11169.545497587142</v>
      </c>
      <c r="S10" s="118">
        <v>13776.051582549544</v>
      </c>
      <c r="T10" s="121">
        <f t="shared" si="4"/>
        <v>0.23335829425874688</v>
      </c>
      <c r="U10" s="135">
        <f t="shared" si="10"/>
        <v>0.21430415378257631</v>
      </c>
      <c r="V10" s="135">
        <f t="shared" si="11"/>
        <v>0.25850847460793397</v>
      </c>
      <c r="W10" s="27" t="str">
        <f t="shared" si="5"/>
        <v>4,4 pt(s)</v>
      </c>
      <c r="X10" s="72"/>
      <c r="Y10" s="72"/>
      <c r="Z10" s="27" t="e">
        <f t="shared" si="6"/>
        <v>#DIV/0!</v>
      </c>
      <c r="AA10" s="47" t="s">
        <v>114</v>
      </c>
      <c r="AB10" s="47" t="s">
        <v>125</v>
      </c>
      <c r="AC10" s="47">
        <v>8954.6716871367389</v>
      </c>
      <c r="AD10" s="47">
        <v>4804.39489127466</v>
      </c>
      <c r="AE10" s="47">
        <v>91.34213364211891</v>
      </c>
      <c r="AF10" s="47" t="s">
        <v>47</v>
      </c>
      <c r="AG10" s="47">
        <v>3003.0144289191444</v>
      </c>
      <c r="AH10" s="47">
        <v>1632.1547258202067</v>
      </c>
      <c r="AI10" s="47">
        <v>6.4354248996585026</v>
      </c>
      <c r="AJ10" s="47" t="s">
        <v>43</v>
      </c>
      <c r="AK10" s="47">
        <v>2662.7572318322818</v>
      </c>
      <c r="AL10" s="47">
        <v>684.5316305396409</v>
      </c>
      <c r="AM10" s="47">
        <v>909.46796566349701</v>
      </c>
      <c r="AN10" s="47" t="s">
        <v>48</v>
      </c>
      <c r="AO10" s="47">
        <v>2566.5366858606913</v>
      </c>
      <c r="AP10" s="47">
        <v>257.03054898495327</v>
      </c>
      <c r="AQ10" s="47">
        <v>387.65264290336694</v>
      </c>
      <c r="AR10" s="47" t="s">
        <v>86</v>
      </c>
      <c r="AS10" s="47">
        <v>2088.0025748577864</v>
      </c>
      <c r="AT10" s="47">
        <v>858.39080549907908</v>
      </c>
      <c r="AU10" s="47">
        <v>14.896569048354877</v>
      </c>
      <c r="AV10" s="47" t="s">
        <v>126</v>
      </c>
      <c r="AW10" s="47">
        <v>1942.838542842868</v>
      </c>
      <c r="AX10" s="47">
        <v>1260.4791768837486</v>
      </c>
      <c r="AY10" s="47">
        <v>6.6194800742972308</v>
      </c>
      <c r="AZ10" s="47" t="s">
        <v>194</v>
      </c>
      <c r="BA10" s="47">
        <v>1917.4509888861626</v>
      </c>
      <c r="BB10" s="47">
        <v>347.27580866323945</v>
      </c>
      <c r="BC10" s="47">
        <v>5</v>
      </c>
      <c r="BD10" s="47" t="s">
        <v>227</v>
      </c>
      <c r="BE10" s="47">
        <v>1864.2731100198916</v>
      </c>
      <c r="BF10" s="47">
        <v>1098.6932723995794</v>
      </c>
      <c r="BG10" s="47">
        <v>10</v>
      </c>
      <c r="BH10" s="47" t="s">
        <v>127</v>
      </c>
      <c r="BI10" s="47">
        <v>1737.8180924376481</v>
      </c>
      <c r="BJ10" s="47">
        <v>682.96980112875724</v>
      </c>
      <c r="BK10" s="47">
        <v>172.1822506191088</v>
      </c>
      <c r="BL10" s="47" t="s">
        <v>45</v>
      </c>
      <c r="BM10" s="47">
        <v>1684.9107432260685</v>
      </c>
      <c r="BN10" s="47">
        <v>339.1086721480101</v>
      </c>
      <c r="BO10" s="47">
        <v>290.46265948832212</v>
      </c>
      <c r="BP10" s="47"/>
      <c r="BQ10" s="138">
        <v>756.7184108112026</v>
      </c>
      <c r="BR10" s="138">
        <v>2180.6006359773755</v>
      </c>
      <c r="BS10" s="138">
        <v>3321.4171221191737</v>
      </c>
      <c r="BT10" s="138">
        <v>7350.094577995309</v>
      </c>
      <c r="BU10" s="138">
        <v>63712.429997925865</v>
      </c>
      <c r="BV10" s="138">
        <v>2121.4190513041217</v>
      </c>
      <c r="BW10" s="138">
        <v>4528.5465126422332</v>
      </c>
      <c r="BX10" s="138">
        <v>16326.434820236318</v>
      </c>
      <c r="BY10" s="138">
        <v>4587.2785728291938</v>
      </c>
      <c r="BZ10" s="138">
        <v>851.65646633707217</v>
      </c>
      <c r="CA10" s="138">
        <v>21595.8130428734</v>
      </c>
      <c r="CB10" s="138">
        <v>2969.6058786825815</v>
      </c>
      <c r="CC10" s="138">
        <v>6868.2380230707367</v>
      </c>
      <c r="CD10" s="138">
        <v>3863.4376299502028</v>
      </c>
      <c r="CE10" s="140">
        <f t="shared" si="7"/>
        <v>77321.26074482892</v>
      </c>
      <c r="CF10" s="33">
        <v>9225.9031683361354</v>
      </c>
      <c r="CG10" s="33">
        <v>6725.426962166317</v>
      </c>
      <c r="CH10" s="33">
        <v>4814.9871475043019</v>
      </c>
      <c r="CI10" s="33">
        <v>6461.0673707152619</v>
      </c>
      <c r="CJ10" s="33">
        <v>10654.793079472902</v>
      </c>
      <c r="CK10" s="33">
        <v>7195.0094536058969</v>
      </c>
      <c r="CL10" s="33">
        <v>9319.2350681425196</v>
      </c>
      <c r="CM10" s="33">
        <v>22924.838494885582</v>
      </c>
      <c r="CN10" s="34">
        <f t="shared" si="9"/>
        <v>77321.26074482892</v>
      </c>
      <c r="CO10" s="39"/>
      <c r="CP10" s="40"/>
      <c r="CQ10" s="41"/>
      <c r="CR10" s="41"/>
      <c r="CS10" s="41"/>
    </row>
    <row r="11" spans="1:97" s="71" customFormat="1" ht="13.5" x14ac:dyDescent="0.2">
      <c r="A11" s="3">
        <v>93</v>
      </c>
      <c r="B11" s="16" t="s">
        <v>115</v>
      </c>
      <c r="C11" s="118">
        <v>30325.05248067942</v>
      </c>
      <c r="D11" s="118">
        <v>36444.473327849002</v>
      </c>
      <c r="E11" s="121">
        <f t="shared" si="8"/>
        <v>0.20179423765443971</v>
      </c>
      <c r="F11" s="118">
        <v>10536.572854455328</v>
      </c>
      <c r="G11" s="118">
        <v>13860.212414975</v>
      </c>
      <c r="H11" s="121">
        <f t="shared" si="0"/>
        <v>0.31543838840484928</v>
      </c>
      <c r="I11" s="118">
        <v>4909.7598328118238</v>
      </c>
      <c r="J11" s="118">
        <v>5506.8004239820011</v>
      </c>
      <c r="K11" s="121">
        <f t="shared" si="1"/>
        <v>0.12160280981162619</v>
      </c>
      <c r="L11" s="72"/>
      <c r="M11" s="72"/>
      <c r="N11" s="27" t="e">
        <f t="shared" si="2"/>
        <v>#DIV/0!</v>
      </c>
      <c r="O11" s="118">
        <v>46615.79307816457</v>
      </c>
      <c r="P11" s="118">
        <v>47893.332837335605</v>
      </c>
      <c r="Q11" s="121">
        <f t="shared" si="3"/>
        <v>2.7405728291029607E-2</v>
      </c>
      <c r="R11" s="118">
        <v>8710.5714517742781</v>
      </c>
      <c r="S11" s="118">
        <v>10452.640856252254</v>
      </c>
      <c r="T11" s="121">
        <f t="shared" si="4"/>
        <v>0.19999484696530789</v>
      </c>
      <c r="U11" s="135">
        <f t="shared" si="10"/>
        <v>0.18685880635278562</v>
      </c>
      <c r="V11" s="135">
        <f t="shared" si="11"/>
        <v>0.21824834975994445</v>
      </c>
      <c r="W11" s="27" t="str">
        <f t="shared" si="5"/>
        <v>3,1 pt(s)</v>
      </c>
      <c r="X11" s="72"/>
      <c r="Y11" s="72"/>
      <c r="Z11" s="27" t="e">
        <f t="shared" si="6"/>
        <v>#DIV/0!</v>
      </c>
      <c r="AA11" s="47" t="s">
        <v>115</v>
      </c>
      <c r="AB11" s="47" t="s">
        <v>131</v>
      </c>
      <c r="AC11" s="47">
        <v>3263.4231958832065</v>
      </c>
      <c r="AD11" s="47">
        <v>119.92211125500476</v>
      </c>
      <c r="AE11" s="47">
        <v>684.70559650126677</v>
      </c>
      <c r="AF11" s="47" t="s">
        <v>43</v>
      </c>
      <c r="AG11" s="47">
        <v>1725.6886757364341</v>
      </c>
      <c r="AH11" s="47">
        <v>740.76967495301199</v>
      </c>
      <c r="AI11" s="47">
        <v>248.63033825342691</v>
      </c>
      <c r="AJ11" s="47" t="s">
        <v>45</v>
      </c>
      <c r="AK11" s="47">
        <v>1076.8354725387524</v>
      </c>
      <c r="AL11" s="47">
        <v>284.42921385053421</v>
      </c>
      <c r="AM11" s="47">
        <v>792.42045537287936</v>
      </c>
      <c r="AN11" s="47" t="s">
        <v>128</v>
      </c>
      <c r="AO11" s="47">
        <v>972.22953763872772</v>
      </c>
      <c r="AP11" s="47">
        <v>375.66137155461684</v>
      </c>
      <c r="AQ11" s="47">
        <v>142.75214988006263</v>
      </c>
      <c r="AR11" s="47" t="s">
        <v>46</v>
      </c>
      <c r="AS11" s="47">
        <v>938.3367601845739</v>
      </c>
      <c r="AT11" s="47">
        <v>340.59254287646479</v>
      </c>
      <c r="AU11" s="47">
        <v>82.027353862848358</v>
      </c>
      <c r="AV11" s="47" t="s">
        <v>133</v>
      </c>
      <c r="AW11" s="47">
        <v>919.43423734902683</v>
      </c>
      <c r="AX11" s="47">
        <v>286.41105799340602</v>
      </c>
      <c r="AY11" s="47">
        <v>146.51403110490159</v>
      </c>
      <c r="AZ11" s="47" t="s">
        <v>49</v>
      </c>
      <c r="BA11" s="47">
        <v>915.6244465437909</v>
      </c>
      <c r="BB11" s="47">
        <v>292.66075854184862</v>
      </c>
      <c r="BC11" s="47">
        <v>201.94538394457749</v>
      </c>
      <c r="BD11" s="47" t="s">
        <v>132</v>
      </c>
      <c r="BE11" s="47">
        <v>890.12491124733458</v>
      </c>
      <c r="BF11" s="47">
        <v>292.78174915365452</v>
      </c>
      <c r="BG11" s="47">
        <v>50.222213043030898</v>
      </c>
      <c r="BH11" s="47" t="s">
        <v>51</v>
      </c>
      <c r="BI11" s="47">
        <v>870.1167603225523</v>
      </c>
      <c r="BJ11" s="47">
        <v>185.19012544096944</v>
      </c>
      <c r="BK11" s="47">
        <v>343.61033270517515</v>
      </c>
      <c r="BL11" s="47" t="s">
        <v>124</v>
      </c>
      <c r="BM11" s="47">
        <v>830.56544222866626</v>
      </c>
      <c r="BN11" s="47">
        <v>310.71017456349728</v>
      </c>
      <c r="BO11" s="47">
        <v>61.902536875209449</v>
      </c>
      <c r="BP11" s="47"/>
      <c r="BQ11" s="138">
        <v>422.2701184078856</v>
      </c>
      <c r="BR11" s="138">
        <v>1125.0816431977717</v>
      </c>
      <c r="BS11" s="138">
        <v>4526.0423318785315</v>
      </c>
      <c r="BT11" s="138">
        <v>4297.697287597397</v>
      </c>
      <c r="BU11" s="138">
        <v>26073.381946763919</v>
      </c>
      <c r="BV11" s="138">
        <v>3484.2919786633511</v>
      </c>
      <c r="BW11" s="138">
        <v>2698.4447879352947</v>
      </c>
      <c r="BX11" s="138">
        <v>2264.9492609019658</v>
      </c>
      <c r="BY11" s="138">
        <v>586.8229274083036</v>
      </c>
      <c r="BZ11" s="138">
        <v>491.14647258212062</v>
      </c>
      <c r="CA11" s="138">
        <v>5784.267057370208</v>
      </c>
      <c r="CB11" s="138">
        <v>2490.5390255034208</v>
      </c>
      <c r="CC11" s="138">
        <v>3339.5778561616235</v>
      </c>
      <c r="CD11" s="138">
        <v>4933.3425802376287</v>
      </c>
      <c r="CE11" s="140">
        <f t="shared" si="7"/>
        <v>36444.473327845502</v>
      </c>
      <c r="CF11" s="33">
        <v>8010.2070537843429</v>
      </c>
      <c r="CG11" s="33">
        <v>6205.6409199917307</v>
      </c>
      <c r="CH11" s="33">
        <v>3087.8150293236426</v>
      </c>
      <c r="CI11" s="33">
        <v>4639.4376956603373</v>
      </c>
      <c r="CJ11" s="33">
        <v>4824.2112037675224</v>
      </c>
      <c r="CK11" s="33">
        <v>3019.6070305929697</v>
      </c>
      <c r="CL11" s="33">
        <v>2270.7918207918301</v>
      </c>
      <c r="CM11" s="33">
        <v>4386.7625739331306</v>
      </c>
      <c r="CN11" s="34">
        <f t="shared" si="9"/>
        <v>36444.473327845502</v>
      </c>
      <c r="CO11" s="39"/>
      <c r="CP11" s="40"/>
      <c r="CQ11" s="41"/>
      <c r="CR11" s="41"/>
      <c r="CS11" s="41"/>
    </row>
    <row r="12" spans="1:97" s="71" customFormat="1" ht="13.5" x14ac:dyDescent="0.2">
      <c r="A12" s="3">
        <v>94</v>
      </c>
      <c r="B12" s="15" t="s">
        <v>116</v>
      </c>
      <c r="C12" s="118">
        <v>27579.634984045635</v>
      </c>
      <c r="D12" s="118">
        <v>32911.837125486003</v>
      </c>
      <c r="E12" s="121">
        <f t="shared" si="8"/>
        <v>0.19333838698463413</v>
      </c>
      <c r="F12" s="118">
        <v>10860.892560891085</v>
      </c>
      <c r="G12" s="118">
        <v>14413.05467114</v>
      </c>
      <c r="H12" s="121">
        <f t="shared" si="0"/>
        <v>0.32705987011047988</v>
      </c>
      <c r="I12" s="118">
        <v>4368.4546821748345</v>
      </c>
      <c r="J12" s="118">
        <v>4772.1893767700003</v>
      </c>
      <c r="K12" s="121">
        <f t="shared" si="1"/>
        <v>9.2420483664984898E-2</v>
      </c>
      <c r="L12" s="72"/>
      <c r="M12" s="72"/>
      <c r="N12" s="27" t="e">
        <f t="shared" si="2"/>
        <v>#DIV/0!</v>
      </c>
      <c r="O12" s="118">
        <v>37153.191511204379</v>
      </c>
      <c r="P12" s="118">
        <v>37834.605767851215</v>
      </c>
      <c r="Q12" s="121">
        <f t="shared" si="3"/>
        <v>1.8340665469918971E-2</v>
      </c>
      <c r="R12" s="118">
        <v>7489.5066312735735</v>
      </c>
      <c r="S12" s="118">
        <v>9054.2777869370439</v>
      </c>
      <c r="T12" s="121">
        <f t="shared" si="4"/>
        <v>0.20892846921712183</v>
      </c>
      <c r="U12" s="135">
        <f t="shared" si="10"/>
        <v>0.20158447569746316</v>
      </c>
      <c r="V12" s="135">
        <f t="shared" si="11"/>
        <v>0.23931206902202312</v>
      </c>
      <c r="W12" s="27" t="str">
        <f t="shared" si="5"/>
        <v>3,8 pt(s)</v>
      </c>
      <c r="X12" s="72"/>
      <c r="Y12" s="72"/>
      <c r="Z12" s="27" t="e">
        <f t="shared" si="6"/>
        <v>#DIV/0!</v>
      </c>
      <c r="AA12" s="47" t="s">
        <v>116</v>
      </c>
      <c r="AB12" s="47" t="s">
        <v>43</v>
      </c>
      <c r="AC12" s="47">
        <v>1682.6219065837674</v>
      </c>
      <c r="AD12" s="47">
        <v>419.25623894613369</v>
      </c>
      <c r="AE12" s="47">
        <v>449.54950859635721</v>
      </c>
      <c r="AF12" s="47" t="s">
        <v>44</v>
      </c>
      <c r="AG12" s="47">
        <v>1312.8053529075153</v>
      </c>
      <c r="AH12" s="47">
        <v>833.39178824651242</v>
      </c>
      <c r="AI12" s="47">
        <v>169</v>
      </c>
      <c r="AJ12" s="47" t="s">
        <v>125</v>
      </c>
      <c r="AK12" s="47">
        <v>1103.9449550815409</v>
      </c>
      <c r="AL12" s="47">
        <v>677.7167303157803</v>
      </c>
      <c r="AM12" s="47">
        <v>0</v>
      </c>
      <c r="AN12" s="47" t="s">
        <v>45</v>
      </c>
      <c r="AO12" s="47">
        <v>1011.9726916608581</v>
      </c>
      <c r="AP12" s="47">
        <v>314.71051415013159</v>
      </c>
      <c r="AQ12" s="47">
        <v>413.19958942745876</v>
      </c>
      <c r="AR12" s="47" t="s">
        <v>130</v>
      </c>
      <c r="AS12" s="47">
        <v>926.37667069917416</v>
      </c>
      <c r="AT12" s="47">
        <v>698.97994842661194</v>
      </c>
      <c r="AU12" s="47">
        <v>59.787826963477727</v>
      </c>
      <c r="AV12" s="47" t="s">
        <v>128</v>
      </c>
      <c r="AW12" s="47">
        <v>893.83743337449084</v>
      </c>
      <c r="AX12" s="47">
        <v>247.94899076085733</v>
      </c>
      <c r="AY12" s="47">
        <v>231.5649147719808</v>
      </c>
      <c r="AZ12" s="47" t="s">
        <v>131</v>
      </c>
      <c r="BA12" s="47">
        <v>854.63435154511569</v>
      </c>
      <c r="BB12" s="47">
        <v>196.24116510081947</v>
      </c>
      <c r="BC12" s="47">
        <v>323.75816037235865</v>
      </c>
      <c r="BD12" s="47" t="s">
        <v>49</v>
      </c>
      <c r="BE12" s="47">
        <v>816.42322451795792</v>
      </c>
      <c r="BF12" s="47">
        <v>215.65429967838634</v>
      </c>
      <c r="BG12" s="47">
        <v>253.43176491625456</v>
      </c>
      <c r="BH12" s="47" t="s">
        <v>46</v>
      </c>
      <c r="BI12" s="47">
        <v>796.57566299111477</v>
      </c>
      <c r="BJ12" s="47">
        <v>254.01449020228637</v>
      </c>
      <c r="BK12" s="47">
        <v>47.311067175007473</v>
      </c>
      <c r="BL12" s="47" t="s">
        <v>48</v>
      </c>
      <c r="BM12" s="47">
        <v>782.34251324167485</v>
      </c>
      <c r="BN12" s="47">
        <v>221.24077371606617</v>
      </c>
      <c r="BO12" s="47">
        <v>64.767656106630938</v>
      </c>
      <c r="BP12" s="47"/>
      <c r="BQ12" s="138">
        <v>168.04325016605847</v>
      </c>
      <c r="BR12" s="138">
        <v>977.7083478838008</v>
      </c>
      <c r="BS12" s="138">
        <v>3085.1934606449568</v>
      </c>
      <c r="BT12" s="138">
        <v>5051.4540162716876</v>
      </c>
      <c r="BU12" s="138">
        <v>23629.438050523131</v>
      </c>
      <c r="BV12" s="138">
        <v>2187.2119462052433</v>
      </c>
      <c r="BW12" s="138">
        <v>1952.5346894840093</v>
      </c>
      <c r="BX12" s="138">
        <v>1732.4053414673162</v>
      </c>
      <c r="BY12" s="138">
        <v>1344.0669059148192</v>
      </c>
      <c r="BZ12" s="138">
        <v>635.6148963884217</v>
      </c>
      <c r="CA12" s="138">
        <v>6578.7120523344593</v>
      </c>
      <c r="CB12" s="138">
        <v>2264.4465930503925</v>
      </c>
      <c r="CC12" s="138">
        <v>3512.138877741645</v>
      </c>
      <c r="CD12" s="138">
        <v>3422.3067479368283</v>
      </c>
      <c r="CE12" s="140">
        <f t="shared" si="7"/>
        <v>32911.837125489634</v>
      </c>
      <c r="CF12" s="33">
        <v>4601.5075108244764</v>
      </c>
      <c r="CG12" s="33">
        <v>3971.5660334804234</v>
      </c>
      <c r="CH12" s="33">
        <v>3353.8013448778001</v>
      </c>
      <c r="CI12" s="33">
        <v>3315.192490426522</v>
      </c>
      <c r="CJ12" s="33">
        <v>4558.7843187735871</v>
      </c>
      <c r="CK12" s="33">
        <v>3588.6287224803973</v>
      </c>
      <c r="CL12" s="33">
        <v>2483.2966354999044</v>
      </c>
      <c r="CM12" s="33">
        <v>7039.0600691265254</v>
      </c>
      <c r="CN12" s="34">
        <f t="shared" si="9"/>
        <v>32911.837125489634</v>
      </c>
      <c r="CO12" s="39"/>
      <c r="CP12" s="40"/>
      <c r="CQ12" s="41"/>
      <c r="CR12" s="41"/>
      <c r="CS12" s="41"/>
    </row>
    <row r="13" spans="1:97" s="71" customFormat="1" ht="13.5" x14ac:dyDescent="0.2">
      <c r="A13" s="3">
        <v>95</v>
      </c>
      <c r="B13" s="16" t="s">
        <v>107</v>
      </c>
      <c r="C13" s="118">
        <v>21474.233254558221</v>
      </c>
      <c r="D13" s="118">
        <v>25343.585708297</v>
      </c>
      <c r="E13" s="121">
        <f t="shared" si="8"/>
        <v>0.18018582586260457</v>
      </c>
      <c r="F13" s="118">
        <v>7479.6536251465423</v>
      </c>
      <c r="G13" s="118">
        <v>9855.3742006399989</v>
      </c>
      <c r="H13" s="121">
        <f t="shared" si="0"/>
        <v>0.31762441077569425</v>
      </c>
      <c r="I13" s="118">
        <v>3172.6485960149266</v>
      </c>
      <c r="J13" s="118">
        <v>3752.9157260649999</v>
      </c>
      <c r="K13" s="121">
        <f t="shared" si="1"/>
        <v>0.18289675408077977</v>
      </c>
      <c r="L13" s="72"/>
      <c r="M13" s="72"/>
      <c r="N13" s="27" t="e">
        <f t="shared" si="2"/>
        <v>#DIV/0!</v>
      </c>
      <c r="O13" s="118">
        <v>31764.73103594163</v>
      </c>
      <c r="P13" s="118">
        <v>31641.361255479529</v>
      </c>
      <c r="Q13" s="121">
        <f t="shared" si="3"/>
        <v>-3.8838603834708829E-3</v>
      </c>
      <c r="R13" s="118">
        <v>5904.2867193046495</v>
      </c>
      <c r="S13" s="118">
        <v>7435.8811464805549</v>
      </c>
      <c r="T13" s="121">
        <f t="shared" si="4"/>
        <v>0.25940380269274632</v>
      </c>
      <c r="U13" s="135">
        <f t="shared" si="10"/>
        <v>0.1858755458254622</v>
      </c>
      <c r="V13" s="135">
        <f t="shared" si="11"/>
        <v>0.23500509622331237</v>
      </c>
      <c r="W13" s="27" t="str">
        <f t="shared" si="5"/>
        <v>4,9 pt(s)</v>
      </c>
      <c r="X13" s="72"/>
      <c r="Y13" s="72"/>
      <c r="Z13" s="27" t="e">
        <f t="shared" si="6"/>
        <v>#DIV/0!</v>
      </c>
      <c r="AA13" s="47" t="s">
        <v>107</v>
      </c>
      <c r="AB13" s="47" t="s">
        <v>44</v>
      </c>
      <c r="AC13" s="47">
        <v>1199.2895355841688</v>
      </c>
      <c r="AD13" s="47">
        <v>392.51609397739605</v>
      </c>
      <c r="AE13" s="47">
        <v>56.306771979881873</v>
      </c>
      <c r="AF13" s="47" t="s">
        <v>49</v>
      </c>
      <c r="AG13" s="47">
        <v>1179.9042011233328</v>
      </c>
      <c r="AH13" s="47">
        <v>183.78525432369287</v>
      </c>
      <c r="AI13" s="47">
        <v>247.59501922732883</v>
      </c>
      <c r="AJ13" s="47" t="s">
        <v>128</v>
      </c>
      <c r="AK13" s="47">
        <v>804.48559284626015</v>
      </c>
      <c r="AL13" s="47">
        <v>119.17051071047329</v>
      </c>
      <c r="AM13" s="47">
        <v>163.77240690485436</v>
      </c>
      <c r="AN13" s="47" t="s">
        <v>132</v>
      </c>
      <c r="AO13" s="47">
        <v>749.85625864662325</v>
      </c>
      <c r="AP13" s="47">
        <v>207.1201561602476</v>
      </c>
      <c r="AQ13" s="47">
        <v>191.00006684565199</v>
      </c>
      <c r="AR13" s="47" t="s">
        <v>43</v>
      </c>
      <c r="AS13" s="47">
        <v>709.10851166092584</v>
      </c>
      <c r="AT13" s="47">
        <v>169.81467409162335</v>
      </c>
      <c r="AU13" s="47">
        <v>134.06011952956806</v>
      </c>
      <c r="AV13" s="47" t="s">
        <v>45</v>
      </c>
      <c r="AW13" s="47">
        <v>691.73458295341868</v>
      </c>
      <c r="AX13" s="47">
        <v>101.51100152384765</v>
      </c>
      <c r="AY13" s="47">
        <v>173.44694009724242</v>
      </c>
      <c r="AZ13" s="47" t="s">
        <v>130</v>
      </c>
      <c r="BA13" s="47">
        <v>606.18115386572845</v>
      </c>
      <c r="BB13" s="47">
        <v>422.75614967999053</v>
      </c>
      <c r="BC13" s="47">
        <v>60.977957584390687</v>
      </c>
      <c r="BD13" s="47" t="s">
        <v>124</v>
      </c>
      <c r="BE13" s="47">
        <v>563.03168773051391</v>
      </c>
      <c r="BF13" s="47">
        <v>184.58046517259609</v>
      </c>
      <c r="BG13" s="47">
        <v>31.717697718621967</v>
      </c>
      <c r="BH13" s="47" t="s">
        <v>46</v>
      </c>
      <c r="BI13" s="47">
        <v>561.48639956635384</v>
      </c>
      <c r="BJ13" s="47">
        <v>197.02798645672564</v>
      </c>
      <c r="BK13" s="47">
        <v>42.733493958613892</v>
      </c>
      <c r="BL13" s="47" t="s">
        <v>133</v>
      </c>
      <c r="BM13" s="47">
        <v>467.25075191947082</v>
      </c>
      <c r="BN13" s="47">
        <v>225.13808463122507</v>
      </c>
      <c r="BO13" s="47">
        <v>53.397651286159231</v>
      </c>
      <c r="BP13" s="47"/>
      <c r="BQ13" s="138">
        <v>581.87000561381558</v>
      </c>
      <c r="BR13" s="138">
        <v>1367.3886204176576</v>
      </c>
      <c r="BS13" s="138">
        <v>3240.7233738994191</v>
      </c>
      <c r="BT13" s="138">
        <v>3777.4812551679979</v>
      </c>
      <c r="BU13" s="138">
        <v>16376.122453195923</v>
      </c>
      <c r="BV13" s="138">
        <v>2291.4216784515852</v>
      </c>
      <c r="BW13" s="138">
        <v>1775.3552137436786</v>
      </c>
      <c r="BX13" s="138">
        <v>937.60585766076565</v>
      </c>
      <c r="BY13" s="138">
        <v>477.61213230687906</v>
      </c>
      <c r="BZ13" s="138">
        <v>263.27460432876956</v>
      </c>
      <c r="CA13" s="138">
        <v>3734.4628871944951</v>
      </c>
      <c r="CB13" s="138">
        <v>1885.3838961063145</v>
      </c>
      <c r="CC13" s="138">
        <v>3027.3087350003652</v>
      </c>
      <c r="CD13" s="138">
        <v>1983.6974484030738</v>
      </c>
      <c r="CE13" s="140">
        <f t="shared" si="7"/>
        <v>25343.585708294813</v>
      </c>
      <c r="CF13" s="33">
        <v>4139.536802138462</v>
      </c>
      <c r="CG13" s="33">
        <v>3885.9045442282686</v>
      </c>
      <c r="CH13" s="33">
        <v>2253.3851274236822</v>
      </c>
      <c r="CI13" s="33">
        <v>2508.3938579991727</v>
      </c>
      <c r="CJ13" s="33">
        <v>3614.3012257098817</v>
      </c>
      <c r="CK13" s="33">
        <v>2720.7096198033169</v>
      </c>
      <c r="CL13" s="33">
        <v>1405.6319344045394</v>
      </c>
      <c r="CM13" s="33">
        <v>4815.722596587495</v>
      </c>
      <c r="CN13" s="34">
        <f t="shared" si="9"/>
        <v>25343.585708294821</v>
      </c>
      <c r="CO13" s="39"/>
      <c r="CP13" s="40"/>
      <c r="CQ13" s="41"/>
      <c r="CR13" s="41"/>
      <c r="CS13" s="41"/>
    </row>
    <row r="14" spans="1:97" s="71" customFormat="1" ht="13.5" x14ac:dyDescent="0.2">
      <c r="A14" s="3" t="s">
        <v>204</v>
      </c>
      <c r="B14" s="16"/>
      <c r="C14" s="26"/>
      <c r="D14" s="26"/>
      <c r="E14" s="27"/>
      <c r="F14" s="118"/>
      <c r="G14" s="118"/>
      <c r="H14" s="121"/>
      <c r="I14" s="118"/>
      <c r="J14" s="118"/>
      <c r="K14" s="121"/>
      <c r="L14" s="72"/>
      <c r="M14" s="72"/>
      <c r="N14" s="27"/>
      <c r="O14" s="118"/>
      <c r="P14" s="26"/>
      <c r="Q14" s="27"/>
      <c r="R14" s="118"/>
      <c r="S14" s="26"/>
      <c r="T14" s="27"/>
      <c r="U14" s="135"/>
      <c r="V14" s="31"/>
      <c r="W14" s="27"/>
      <c r="X14" s="72"/>
      <c r="Y14" s="72"/>
      <c r="Z14" s="2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7"/>
      <c r="CF14" s="33"/>
      <c r="CG14" s="33"/>
      <c r="CH14" s="33"/>
      <c r="CI14" s="33"/>
      <c r="CJ14" s="33"/>
      <c r="CK14" s="33"/>
      <c r="CL14" s="33"/>
      <c r="CM14" s="33"/>
      <c r="CN14" s="33"/>
      <c r="CO14" s="39"/>
      <c r="CP14" s="40"/>
      <c r="CQ14" s="41"/>
      <c r="CR14" s="41"/>
      <c r="CS14" s="41"/>
    </row>
    <row r="15" spans="1:97" s="71" customFormat="1" ht="13.5" x14ac:dyDescent="0.2">
      <c r="A15" s="3" t="s">
        <v>204</v>
      </c>
      <c r="B15" s="80" t="s">
        <v>205</v>
      </c>
      <c r="C15" s="26"/>
      <c r="D15" s="26"/>
      <c r="E15" s="27"/>
      <c r="F15" s="118"/>
      <c r="G15" s="118"/>
      <c r="H15" s="121"/>
      <c r="I15" s="118"/>
      <c r="J15" s="118"/>
      <c r="K15" s="121"/>
      <c r="L15" s="72"/>
      <c r="M15" s="72"/>
      <c r="N15" s="27"/>
      <c r="O15" s="118"/>
      <c r="P15" s="26"/>
      <c r="Q15" s="27"/>
      <c r="R15" s="118"/>
      <c r="S15" s="26"/>
      <c r="T15" s="27"/>
      <c r="U15" s="135"/>
      <c r="V15" s="31"/>
      <c r="W15" s="27"/>
      <c r="X15" s="72"/>
      <c r="Y15" s="72"/>
      <c r="Z15" s="2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7"/>
      <c r="CF15" s="33"/>
      <c r="CG15" s="33"/>
      <c r="CH15" s="33"/>
      <c r="CI15" s="33"/>
      <c r="CJ15" s="33"/>
      <c r="CK15" s="33"/>
      <c r="CL15" s="33"/>
      <c r="CM15" s="33"/>
      <c r="CN15" s="33"/>
      <c r="CO15" s="39"/>
      <c r="CP15" s="40"/>
      <c r="CQ15" s="41"/>
      <c r="CR15" s="41"/>
      <c r="CS15" s="41"/>
    </row>
    <row r="16" spans="1:97" s="71" customFormat="1" ht="13.5" x14ac:dyDescent="0.2">
      <c r="A16" s="67">
        <v>1107</v>
      </c>
      <c r="B16" s="30" t="s">
        <v>167</v>
      </c>
      <c r="C16" s="118">
        <v>120278.97870351156</v>
      </c>
      <c r="D16" s="118">
        <v>142662.53799282</v>
      </c>
      <c r="E16" s="121">
        <f t="shared" ref="E16:E39" si="12">D16/C16-1</f>
        <v>0.18609701820368829</v>
      </c>
      <c r="F16" s="118">
        <v>40257.569955123348</v>
      </c>
      <c r="G16" s="118">
        <v>57339.518836212999</v>
      </c>
      <c r="H16" s="121">
        <f t="shared" si="0"/>
        <v>0.42431644284867542</v>
      </c>
      <c r="I16" s="118">
        <v>27473.315541752076</v>
      </c>
      <c r="J16" s="118">
        <v>23911.367071461995</v>
      </c>
      <c r="K16" s="121">
        <f t="shared" si="1"/>
        <v>-0.12965120518041862</v>
      </c>
      <c r="L16" s="26">
        <v>31751.4218091283</v>
      </c>
      <c r="M16" s="26">
        <v>34631.354340961996</v>
      </c>
      <c r="N16" s="27">
        <f t="shared" si="2"/>
        <v>9.0702474652827547E-2</v>
      </c>
      <c r="O16" s="118">
        <v>157648.99999918544</v>
      </c>
      <c r="P16" s="118">
        <v>159336.99999999991</v>
      </c>
      <c r="Q16" s="121">
        <f t="shared" si="3"/>
        <v>1.0707330847789631E-2</v>
      </c>
      <c r="R16" s="131">
        <v>26388.65813137059</v>
      </c>
      <c r="S16" s="131">
        <v>32360.861874812523</v>
      </c>
      <c r="T16" s="121">
        <f t="shared" si="4"/>
        <v>0.22631706825373721</v>
      </c>
      <c r="U16" s="135">
        <f>R16/O16</f>
        <v>0.16738868074968402</v>
      </c>
      <c r="V16" s="135">
        <f t="shared" ref="V16:V39" si="13">S16/P16</f>
        <v>0.20309696978612965</v>
      </c>
      <c r="W16" s="27" t="str">
        <f t="shared" si="5"/>
        <v>3,6 pt(s)</v>
      </c>
      <c r="X16" s="26">
        <v>1558807.6185705101</v>
      </c>
      <c r="Y16" s="26">
        <v>1903190.2226228535</v>
      </c>
      <c r="Z16" s="27">
        <f t="shared" si="6"/>
        <v>0.22092694438339744</v>
      </c>
      <c r="AA16" s="47" t="s">
        <v>167</v>
      </c>
      <c r="AB16" s="36" t="str">
        <f>VLOOKUP($A$16&amp;"_"&amp;AB$41,bassins_diff_tri!$B:$H,AB$40,0)</f>
        <v>Ingénieurs et cadres d'études, R et D en informatique, chefs de projets informatiques</v>
      </c>
      <c r="AC16" s="47">
        <f>VLOOKUP($A$16&amp;"_"&amp;AC$41,bassins_diff_tri!$B:$H,AC$40,0)</f>
        <v>8968.2799630015652</v>
      </c>
      <c r="AD16" s="47">
        <f>VLOOKUP($A$16&amp;"_"&amp;AD$41,bassins_diff_tri!$B:$H,AD$40,0)</f>
        <v>6349.9032847044473</v>
      </c>
      <c r="AE16" s="47">
        <f>VLOOKUP($A$16&amp;"_"&amp;AE$41,bassins_diff_tri!$B:$H,AE$40,0)</f>
        <v>212.75649612872681</v>
      </c>
      <c r="AF16" s="36" t="str">
        <f>VLOOKUP($A$16&amp;"_"&amp;AF$41,bassins_diff_tri!$B:$H,AF$40,0)</f>
        <v>Artistes, professeurs d'art (musique, danse, spectacles)</v>
      </c>
      <c r="AG16" s="47">
        <f>VLOOKUP($A$16&amp;"_"&amp;AG$41,bassins_diff_tri!$B:$H,AG$40,0)</f>
        <v>8337.5864804600169</v>
      </c>
      <c r="AH16" s="47">
        <f>VLOOKUP($A$16&amp;"_"&amp;AH$41,bassins_diff_tri!$B:$H,AH$40,0)</f>
        <v>786.55288886698031</v>
      </c>
      <c r="AI16" s="47">
        <f>VLOOKUP($A$16&amp;"_"&amp;AI$41,bassins_diff_tri!$B:$H,AI$40,0)</f>
        <v>4544.1064340914563</v>
      </c>
      <c r="AJ16" s="36" t="str">
        <f>VLOOKUP($A$16&amp;"_"&amp;AJ$41,bassins_diff_tri!$B:$H,AJ$40,0)</f>
        <v>Aides, apprentis, employés polyvalents de cuisine (y compris crêpes, pizzas, plonge …)</v>
      </c>
      <c r="AK16" s="47">
        <f>VLOOKUP($A$16&amp;"_"&amp;AK$41,bassins_diff_tri!$B:$H,AK$40,0)</f>
        <v>6842.7403844195815</v>
      </c>
      <c r="AL16" s="47">
        <f>VLOOKUP($A$16&amp;"_"&amp;AL$41,bassins_diff_tri!$B:$H,AL$40,0)</f>
        <v>1591.1931562832972</v>
      </c>
      <c r="AM16" s="47">
        <f>VLOOKUP($A$16&amp;"_"&amp;AM$41,bassins_diff_tri!$B:$H,AM$40,0)</f>
        <v>675.45005825584121</v>
      </c>
      <c r="AN16" s="36" t="str">
        <f>VLOOKUP($A$16&amp;"_"&amp;AN$41,bassins_diff_tri!$B:$H,AN$40,0)</f>
        <v>Vendeurs en habillement, accessoires et articles de luxe, sport, loisirs et culture</v>
      </c>
      <c r="AO16" s="47">
        <f>VLOOKUP($A$16&amp;"_"&amp;AO$41,bassins_diff_tri!$B:$H,AO$40,0)</f>
        <v>6614.1308132902932</v>
      </c>
      <c r="AP16" s="47">
        <f>VLOOKUP($A$16&amp;"_"&amp;AP$41,bassins_diff_tri!$B:$H,AP$40,0)</f>
        <v>1439.9040470866812</v>
      </c>
      <c r="AQ16" s="47">
        <f>VLOOKUP($A$16&amp;"_"&amp;AQ$41,bassins_diff_tri!$B:$H,AQ$40,0)</f>
        <v>1518.115902284213</v>
      </c>
      <c r="AR16" s="36" t="str">
        <f>VLOOKUP($A$16&amp;"_"&amp;AR$41,bassins_diff_tri!$B:$H,AR$40,0)</f>
        <v>Serveurs de cafés, de restaurants et commis</v>
      </c>
      <c r="AS16" s="47">
        <f>VLOOKUP($A$16&amp;"_"&amp;AS$41,bassins_diff_tri!$B:$H,AS$40,0)</f>
        <v>5628.3362155383638</v>
      </c>
      <c r="AT16" s="47">
        <f>VLOOKUP($A$16&amp;"_"&amp;AT$41,bassins_diff_tri!$B:$H,AT$40,0)</f>
        <v>2446.406396738596</v>
      </c>
      <c r="AU16" s="47">
        <f>VLOOKUP($A$16&amp;"_"&amp;AU$41,bassins_diff_tri!$B:$H,AU$40,0)</f>
        <v>1015.5372141308943</v>
      </c>
      <c r="AV16" s="36" t="str">
        <f>VLOOKUP($A$16&amp;"_"&amp;AV$41,bassins_diff_tri!$B:$H,AV$40,0)</f>
        <v>Cadres administratifs, comptables et financiers (hors juristes)</v>
      </c>
      <c r="AW16" s="47">
        <f>VLOOKUP($A$16&amp;"_"&amp;AW$41,bassins_diff_tri!$B:$H,AW$40,0)</f>
        <v>4214.227717602269</v>
      </c>
      <c r="AX16" s="47">
        <f>VLOOKUP($A$16&amp;"_"&amp;AX$41,bassins_diff_tri!$B:$H,AX$40,0)</f>
        <v>2049.8620556122328</v>
      </c>
      <c r="AY16" s="47">
        <f>VLOOKUP($A$16&amp;"_"&amp;AY$41,bassins_diff_tri!$B:$H,AY$40,0)</f>
        <v>99.617811372344619</v>
      </c>
      <c r="AZ16" s="36" t="str">
        <f>VLOOKUP($A$16&amp;"_"&amp;AZ$41,bassins_diff_tri!$B:$H,AZ$40,0)</f>
        <v>Agents de sécurité et de surveillance, enquêteurs privés et métiers assimilés</v>
      </c>
      <c r="BA16" s="47">
        <f>VLOOKUP($A$16&amp;"_"&amp;BA$41,bassins_diff_tri!$B:$H,BA$40,0)</f>
        <v>4014.7139393799921</v>
      </c>
      <c r="BB16" s="47">
        <f>VLOOKUP($A$16&amp;"_"&amp;BB$41,bassins_diff_tri!$B:$H,BB$40,0)</f>
        <v>1467.8921277664595</v>
      </c>
      <c r="BC16" s="47">
        <f>VLOOKUP($A$16&amp;"_"&amp;BC$41,bassins_diff_tri!$B:$H,BC$40,0)</f>
        <v>514.54953178083565</v>
      </c>
      <c r="BD16" s="36" t="str">
        <f>VLOOKUP($A$16&amp;"_"&amp;BD$41,bassins_diff_tri!$B:$H,BD$40,0)</f>
        <v>Professionnels des spectacles</v>
      </c>
      <c r="BE16" s="47">
        <f>VLOOKUP($A$16&amp;"_"&amp;BE$41,bassins_diff_tri!$B:$H,BE$40,0)</f>
        <v>3716.4257816913318</v>
      </c>
      <c r="BF16" s="47">
        <f>VLOOKUP($A$16&amp;"_"&amp;BF$41,bassins_diff_tri!$B:$H,BF$40,0)</f>
        <v>708.02196396946965</v>
      </c>
      <c r="BG16" s="47">
        <f>VLOOKUP($A$16&amp;"_"&amp;BG$41,bassins_diff_tri!$B:$H,BG$40,0)</f>
        <v>2054.8586063665598</v>
      </c>
      <c r="BH16" s="36" t="str">
        <f>VLOOKUP($A$16&amp;"_"&amp;BH$41,bassins_diff_tri!$B:$H,BH$40,0)</f>
        <v>Agents administratifs divers (saisie, assistanat RH, enquêtes…)</v>
      </c>
      <c r="BI16" s="47">
        <f>VLOOKUP($A$16&amp;"_"&amp;BI$41,bassins_diff_tri!$B:$H,BI$40,0)</f>
        <v>3362.6994605945692</v>
      </c>
      <c r="BJ16" s="47">
        <f>VLOOKUP($A$16&amp;"_"&amp;BJ$41,bassins_diff_tri!$B:$H,BJ$40,0)</f>
        <v>1508.0383834827958</v>
      </c>
      <c r="BK16" s="47">
        <f>VLOOKUP($A$16&amp;"_"&amp;BK$41,bassins_diff_tri!$B:$H,BK$40,0)</f>
        <v>1257.7754565975706</v>
      </c>
      <c r="BL16" s="36" t="str">
        <f>VLOOKUP($A$16&amp;"_"&amp;BL$41,bassins_diff_tri!$B:$H,BL$40,0)</f>
        <v>Cuisiniers</v>
      </c>
      <c r="BM16" s="47">
        <f>VLOOKUP($A$16&amp;"_"&amp;BM$41,bassins_diff_tri!$B:$H,BM$40,0)</f>
        <v>3311.7101714153068</v>
      </c>
      <c r="BN16" s="47">
        <f>VLOOKUP($A$16&amp;"_"&amp;BN$41,bassins_diff_tri!$B:$H,BN$40,0)</f>
        <v>1705.5470376386768</v>
      </c>
      <c r="BO16" s="47">
        <f>VLOOKUP($A$16&amp;"_"&amp;BO$41,bassins_diff_tri!$B:$H,BO$40,0)</f>
        <v>523.4720677407422</v>
      </c>
      <c r="BP16" s="47"/>
      <c r="BQ16" s="138">
        <v>1084.0877490265871</v>
      </c>
      <c r="BR16" s="138">
        <v>2246.6997769607442</v>
      </c>
      <c r="BS16" s="138">
        <v>3868.2425195430105</v>
      </c>
      <c r="BT16" s="138">
        <v>17248.435902929741</v>
      </c>
      <c r="BU16" s="138">
        <v>118215.07204435767</v>
      </c>
      <c r="BV16" s="138">
        <v>3077.0192779974209</v>
      </c>
      <c r="BW16" s="138">
        <v>19692.158775669312</v>
      </c>
      <c r="BX16" s="138">
        <v>21648.71430902883</v>
      </c>
      <c r="BY16" s="138">
        <v>5738.1929771436216</v>
      </c>
      <c r="BZ16" s="138">
        <v>2460.6420548396836</v>
      </c>
      <c r="CA16" s="138">
        <v>31152.49017729659</v>
      </c>
      <c r="CB16" s="138">
        <v>6275.7048254655865</v>
      </c>
      <c r="CC16" s="138">
        <v>11917.202539609254</v>
      </c>
      <c r="CD16" s="138">
        <v>16252.947107307384</v>
      </c>
      <c r="CE16" s="140">
        <f t="shared" si="7"/>
        <v>142662.53799281776</v>
      </c>
      <c r="CF16" s="33">
        <v>25479.713496672288</v>
      </c>
      <c r="CG16" s="33">
        <v>18133.68760552246</v>
      </c>
      <c r="CH16" s="33">
        <v>14380.773786034695</v>
      </c>
      <c r="CI16" s="33">
        <v>14516.363351928048</v>
      </c>
      <c r="CJ16" s="33">
        <v>21596.978590062517</v>
      </c>
      <c r="CK16" s="33">
        <v>14598.265688257105</v>
      </c>
      <c r="CL16" s="33">
        <v>14679.418427689066</v>
      </c>
      <c r="CM16" s="33">
        <v>19277.337046651526</v>
      </c>
      <c r="CN16" s="34">
        <f t="shared" ref="CN16:CN39" si="14">SUM(CF16:CM16)</f>
        <v>142662.5379928177</v>
      </c>
      <c r="CO16" s="141" t="s">
        <v>125</v>
      </c>
      <c r="CP16" s="141" t="s">
        <v>131</v>
      </c>
      <c r="CQ16" s="141" t="s">
        <v>128</v>
      </c>
      <c r="CR16" s="141" t="s">
        <v>50</v>
      </c>
      <c r="CS16" s="141" t="s">
        <v>129</v>
      </c>
    </row>
    <row r="17" spans="1:97" s="71" customFormat="1" ht="13.5" x14ac:dyDescent="0.2">
      <c r="A17" s="67">
        <v>1108</v>
      </c>
      <c r="B17" s="30" t="s">
        <v>168</v>
      </c>
      <c r="C17" s="118">
        <v>2184.4379420546816</v>
      </c>
      <c r="D17" s="118">
        <v>3245.9248378890002</v>
      </c>
      <c r="E17" s="121">
        <f t="shared" si="12"/>
        <v>0.48593135808467247</v>
      </c>
      <c r="F17" s="118">
        <v>919.53577035154456</v>
      </c>
      <c r="G17" s="118">
        <v>1709.8863660799998</v>
      </c>
      <c r="H17" s="121">
        <f t="shared" si="0"/>
        <v>0.85951044125917919</v>
      </c>
      <c r="I17" s="118">
        <v>482.13767946980846</v>
      </c>
      <c r="J17" s="118">
        <v>746.75957526900004</v>
      </c>
      <c r="K17" s="121">
        <f t="shared" si="1"/>
        <v>0.54885130755635592</v>
      </c>
      <c r="L17" s="26">
        <v>623.62102812288003</v>
      </c>
      <c r="M17" s="26">
        <v>725.97519561407273</v>
      </c>
      <c r="N17" s="27">
        <f t="shared" si="2"/>
        <v>0.16412879437257288</v>
      </c>
      <c r="O17" s="118">
        <v>5708.0000002070219</v>
      </c>
      <c r="P17" s="118">
        <v>5799.0000002311708</v>
      </c>
      <c r="Q17" s="121">
        <f t="shared" si="3"/>
        <v>1.5942536794121942E-2</v>
      </c>
      <c r="R17" s="131">
        <v>998.99507099164828</v>
      </c>
      <c r="S17" s="131">
        <v>1127.3009613861414</v>
      </c>
      <c r="T17" s="121">
        <f t="shared" si="4"/>
        <v>0.12843495840988561</v>
      </c>
      <c r="U17" s="135">
        <f t="shared" ref="U17:U39" si="15">R17/O17</f>
        <v>0.17501665573851016</v>
      </c>
      <c r="V17" s="135">
        <f t="shared" si="13"/>
        <v>0.19439575122283198</v>
      </c>
      <c r="W17" s="27" t="str">
        <f t="shared" si="5"/>
        <v>1,9 pt(s)</v>
      </c>
      <c r="X17" s="26">
        <v>33481.7754467876</v>
      </c>
      <c r="Y17" s="26">
        <v>32291.229526064384</v>
      </c>
      <c r="Z17" s="27">
        <f t="shared" si="6"/>
        <v>-3.5558028355316629E-2</v>
      </c>
      <c r="AA17" s="47" t="s">
        <v>168</v>
      </c>
      <c r="AB17" s="36" t="str">
        <f>VLOOKUP($A$17&amp;"_"&amp;AB$41,bassins_diff_tri!$B:$H,AB$40,0)</f>
        <v>Employés de libre-service</v>
      </c>
      <c r="AC17" s="47">
        <f>VLOOKUP($A$17&amp;"_"&amp;AC$41,bassins_diff_tri!$B:$H,AC$40,0)</f>
        <v>217.63460894064224</v>
      </c>
      <c r="AD17" s="47">
        <f>VLOOKUP($A$17&amp;"_"&amp;AD$41,bassins_diff_tri!$B:$H,AD$40,0)</f>
        <v>15</v>
      </c>
      <c r="AE17" s="47">
        <f>VLOOKUP($A$17&amp;"_"&amp;AE$41,bassins_diff_tri!$B:$H,AE$40,0)</f>
        <v>4</v>
      </c>
      <c r="AF17" s="36" t="str">
        <f>VLOOKUP($A$17&amp;"_"&amp;AF$41,bassins_diff_tri!$B:$H,AF$40,0)</f>
        <v>Serveurs de cafés, de restaurants et commis</v>
      </c>
      <c r="AG17" s="47">
        <f>VLOOKUP($A$17&amp;"_"&amp;AG$41,bassins_diff_tri!$B:$H,AG$40,0)</f>
        <v>186.49526224724093</v>
      </c>
      <c r="AH17" s="47">
        <f>VLOOKUP($A$17&amp;"_"&amp;AH$41,bassins_diff_tri!$B:$H,AH$40,0)</f>
        <v>141.38099829730064</v>
      </c>
      <c r="AI17" s="47">
        <f>VLOOKUP($A$17&amp;"_"&amp;AI$41,bassins_diff_tri!$B:$H,AI$40,0)</f>
        <v>121.63237243037992</v>
      </c>
      <c r="AJ17" s="36" t="str">
        <f>VLOOKUP($A$17&amp;"_"&amp;AJ$41,bassins_diff_tri!$B:$H,AJ$40,0)</f>
        <v>Aides-soignants (aides médico-psychologiques, auxiliaires de puériculture, assistants médicaux…)</v>
      </c>
      <c r="AK17" s="47">
        <f>VLOOKUP($A$17&amp;"_"&amp;AK$41,bassins_diff_tri!$B:$H,AK$40,0)</f>
        <v>161.70844588788748</v>
      </c>
      <c r="AL17" s="47">
        <f>VLOOKUP($A$17&amp;"_"&amp;AL$41,bassins_diff_tri!$B:$H,AL$40,0)</f>
        <v>96.370366172167863</v>
      </c>
      <c r="AM17" s="47">
        <f>VLOOKUP($A$17&amp;"_"&amp;AM$41,bassins_diff_tri!$B:$H,AM$40,0)</f>
        <v>53.269507835543919</v>
      </c>
      <c r="AN17" s="36" t="str">
        <f>VLOOKUP($A$17&amp;"_"&amp;AN$41,bassins_diff_tri!$B:$H,AN$40,0)</f>
        <v>Aides à domicile, aides ménagères, travailleuses familiales</v>
      </c>
      <c r="AO17" s="47">
        <f>VLOOKUP($A$17&amp;"_"&amp;AO$41,bassins_diff_tri!$B:$H,AO$40,0)</f>
        <v>161.35164190274025</v>
      </c>
      <c r="AP17" s="47">
        <f>VLOOKUP($A$17&amp;"_"&amp;AP$41,bassins_diff_tri!$B:$H,AP$40,0)</f>
        <v>134.3195336944691</v>
      </c>
      <c r="AQ17" s="47">
        <f>VLOOKUP($A$17&amp;"_"&amp;AQ$41,bassins_diff_tri!$B:$H,AQ$40,0)</f>
        <v>0</v>
      </c>
      <c r="AR17" s="36" t="str">
        <f>VLOOKUP($A$17&amp;"_"&amp;AR$41,bassins_diff_tri!$B:$H,AR$40,0)</f>
        <v>Aides, apprentis, employés polyvalents de cuisine (y compris crêpes, pizzas, plonge …)</v>
      </c>
      <c r="AS17" s="47">
        <f>VLOOKUP($A$17&amp;"_"&amp;AS$41,bassins_diff_tri!$B:$H,AS$40,0)</f>
        <v>124.07982026028367</v>
      </c>
      <c r="AT17" s="47">
        <f>VLOOKUP($A$17&amp;"_"&amp;AT$41,bassins_diff_tri!$B:$H,AT$40,0)</f>
        <v>53.648427314980708</v>
      </c>
      <c r="AU17" s="47">
        <f>VLOOKUP($A$17&amp;"_"&amp;AU$41,bassins_diff_tri!$B:$H,AU$40,0)</f>
        <v>33.752130116423153</v>
      </c>
      <c r="AV17" s="36" t="str">
        <f>VLOOKUP($A$17&amp;"_"&amp;AV$41,bassins_diff_tri!$B:$H,AV$40,0)</f>
        <v>Maraîchers, horticulteurs salariés</v>
      </c>
      <c r="AW17" s="47">
        <f>VLOOKUP($A$17&amp;"_"&amp;AW$41,bassins_diff_tri!$B:$H,AW$40,0)</f>
        <v>107.70498503814056</v>
      </c>
      <c r="AX17" s="47">
        <f>VLOOKUP($A$17&amp;"_"&amp;AX$41,bassins_diff_tri!$B:$H,AX$40,0)</f>
        <v>28.568328346046854</v>
      </c>
      <c r="AY17" s="47">
        <f>VLOOKUP($A$17&amp;"_"&amp;AY$41,bassins_diff_tri!$B:$H,AY$40,0)</f>
        <v>98.182208922791602</v>
      </c>
      <c r="AZ17" s="36" t="str">
        <f>VLOOKUP($A$17&amp;"_"&amp;AZ$41,bassins_diff_tri!$B:$H,AZ$40,0)</f>
        <v>Ouvriers non qualifiés en métallurgie, verre, céramique et matériaux de construction</v>
      </c>
      <c r="BA17" s="47">
        <f>VLOOKUP($A$17&amp;"_"&amp;BA$41,bassins_diff_tri!$B:$H,BA$40,0)</f>
        <v>93.565699480594532</v>
      </c>
      <c r="BB17" s="47">
        <f>VLOOKUP($A$17&amp;"_"&amp;BB$41,bassins_diff_tri!$B:$H,BB$40,0)</f>
        <v>6.5058140163859024</v>
      </c>
      <c r="BC17" s="47">
        <f>VLOOKUP($A$17&amp;"_"&amp;BC$41,bassins_diff_tri!$B:$H,BC$40,0)</f>
        <v>0</v>
      </c>
      <c r="BD17" s="36" t="str">
        <f>VLOOKUP($A$17&amp;"_"&amp;BD$41,bassins_diff_tri!$B:$H,BD$40,0)</f>
        <v>Caissiers, pompistes</v>
      </c>
      <c r="BE17" s="47">
        <f>VLOOKUP($A$17&amp;"_"&amp;BE$41,bassins_diff_tri!$B:$H,BE$40,0)</f>
        <v>85.00346482254065</v>
      </c>
      <c r="BF17" s="47">
        <f>VLOOKUP($A$17&amp;"_"&amp;BF$41,bassins_diff_tri!$B:$H,BF$40,0)</f>
        <v>0</v>
      </c>
      <c r="BG17" s="47">
        <f>VLOOKUP($A$17&amp;"_"&amp;BG$41,bassins_diff_tri!$B:$H,BG$40,0)</f>
        <v>40.551577042381759</v>
      </c>
      <c r="BH17" s="36" t="str">
        <f>VLOOKUP($A$17&amp;"_"&amp;BH$41,bassins_diff_tri!$B:$H,BH$40,0)</f>
        <v>Secrétaires bureautiques et assimilés (y compris secrétaires médicales)</v>
      </c>
      <c r="BI17" s="47">
        <f>VLOOKUP($A$17&amp;"_"&amp;BI$41,bassins_diff_tri!$B:$H,BI$40,0)</f>
        <v>80.983292670371384</v>
      </c>
      <c r="BJ17" s="47">
        <f>VLOOKUP($A$17&amp;"_"&amp;BJ$41,bassins_diff_tri!$B:$H,BJ$40,0)</f>
        <v>30.30868605242021</v>
      </c>
      <c r="BK17" s="47">
        <f>VLOOKUP($A$17&amp;"_"&amp;BK$41,bassins_diff_tri!$B:$H,BK$40,0)</f>
        <v>0</v>
      </c>
      <c r="BL17" s="36" t="str">
        <f>VLOOKUP($A$17&amp;"_"&amp;BL$41,bassins_diff_tri!$B:$H,BL$40,0)</f>
        <v>Educateurs spécialisés</v>
      </c>
      <c r="BM17" s="47">
        <f>VLOOKUP($A$17&amp;"_"&amp;BM$41,bassins_diff_tri!$B:$H,BM$40,0)</f>
        <v>75.074811698172994</v>
      </c>
      <c r="BN17" s="47">
        <f>VLOOKUP($A$17&amp;"_"&amp;BN$41,bassins_diff_tri!$B:$H,BN$40,0)</f>
        <v>69.684142634808225</v>
      </c>
      <c r="BO17" s="47">
        <f>VLOOKUP($A$17&amp;"_"&amp;BO$41,bassins_diff_tri!$B:$H,BO$40,0)</f>
        <v>5.3906690633647658</v>
      </c>
      <c r="BP17" s="47"/>
      <c r="BQ17" s="138">
        <v>197.7581647857138</v>
      </c>
      <c r="BR17" s="138">
        <v>277.67161128646518</v>
      </c>
      <c r="BS17" s="138">
        <v>378.58518426064865</v>
      </c>
      <c r="BT17" s="138">
        <v>654.27812773055382</v>
      </c>
      <c r="BU17" s="138">
        <v>1737.6317498245417</v>
      </c>
      <c r="BV17" s="138">
        <v>97.088030241413009</v>
      </c>
      <c r="BW17" s="138">
        <v>319.11272652891779</v>
      </c>
      <c r="BX17" s="138">
        <v>76.276730026709842</v>
      </c>
      <c r="BY17" s="138">
        <v>77.996267177077343</v>
      </c>
      <c r="BZ17" s="138">
        <v>137.27972199697049</v>
      </c>
      <c r="CA17" s="138">
        <v>213.74156327193572</v>
      </c>
      <c r="CB17" s="138">
        <v>144.7683975170946</v>
      </c>
      <c r="CC17" s="138">
        <v>451.73193161611005</v>
      </c>
      <c r="CD17" s="138">
        <v>219.63638144831296</v>
      </c>
      <c r="CE17" s="140">
        <f t="shared" si="7"/>
        <v>3245.9248378879229</v>
      </c>
      <c r="CF17" s="33">
        <v>491.71975710095541</v>
      </c>
      <c r="CG17" s="33">
        <v>794.38812366331172</v>
      </c>
      <c r="CH17" s="33">
        <v>222.96903330816124</v>
      </c>
      <c r="CI17" s="33">
        <v>474.58406376662566</v>
      </c>
      <c r="CJ17" s="33">
        <v>593.80618694773841</v>
      </c>
      <c r="CK17" s="33">
        <v>303.88392295429571</v>
      </c>
      <c r="CL17" s="33">
        <v>208.57479208091405</v>
      </c>
      <c r="CM17" s="33">
        <v>155.99895806592136</v>
      </c>
      <c r="CN17" s="34">
        <f t="shared" si="14"/>
        <v>3245.9248378879233</v>
      </c>
      <c r="CO17" s="141" t="s">
        <v>55</v>
      </c>
      <c r="CP17" s="141" t="s">
        <v>129</v>
      </c>
      <c r="CQ17" s="141" t="s">
        <v>132</v>
      </c>
      <c r="CR17" s="141" t="s">
        <v>130</v>
      </c>
      <c r="CS17" s="141" t="s">
        <v>128</v>
      </c>
    </row>
    <row r="18" spans="1:97" s="71" customFormat="1" ht="13.5" x14ac:dyDescent="0.2">
      <c r="A18" s="67">
        <v>1109</v>
      </c>
      <c r="B18" s="30" t="s">
        <v>169</v>
      </c>
      <c r="C18" s="118">
        <v>2127.2358339897783</v>
      </c>
      <c r="D18" s="118">
        <v>3124.0334650579998</v>
      </c>
      <c r="E18" s="121">
        <f t="shared" si="12"/>
        <v>0.46858820970435544</v>
      </c>
      <c r="F18" s="118">
        <v>948.77724823595486</v>
      </c>
      <c r="G18" s="118">
        <v>1322.708030601</v>
      </c>
      <c r="H18" s="121">
        <f t="shared" si="0"/>
        <v>0.39411862274341858</v>
      </c>
      <c r="I18" s="118">
        <v>428.52514718010258</v>
      </c>
      <c r="J18" s="118">
        <v>607.921832483</v>
      </c>
      <c r="K18" s="121">
        <f t="shared" si="1"/>
        <v>0.41863747433123155</v>
      </c>
      <c r="L18" s="26">
        <v>756.65969766821297</v>
      </c>
      <c r="M18" s="26">
        <v>802.2798645682052</v>
      </c>
      <c r="N18" s="27">
        <f t="shared" si="2"/>
        <v>6.0291524764143345E-2</v>
      </c>
      <c r="O18" s="118">
        <v>4342.0000000631117</v>
      </c>
      <c r="P18" s="118">
        <v>4370.0000000826585</v>
      </c>
      <c r="Q18" s="121">
        <f t="shared" si="3"/>
        <v>6.4486411835882329E-3</v>
      </c>
      <c r="R18" s="131">
        <v>797.74543849890881</v>
      </c>
      <c r="S18" s="131">
        <v>1026.3088370470664</v>
      </c>
      <c r="T18" s="121">
        <f t="shared" si="4"/>
        <v>0.2865116959844205</v>
      </c>
      <c r="U18" s="135">
        <f t="shared" si="15"/>
        <v>0.18372764589758486</v>
      </c>
      <c r="V18" s="135">
        <f t="shared" si="13"/>
        <v>0.23485328078436013</v>
      </c>
      <c r="W18" s="27" t="str">
        <f t="shared" si="5"/>
        <v>5,1 pt(s)</v>
      </c>
      <c r="X18" s="26">
        <v>37011.73625776</v>
      </c>
      <c r="Y18" s="26">
        <v>33460.122861244119</v>
      </c>
      <c r="Z18" s="27">
        <f t="shared" si="6"/>
        <v>-9.5959113395314932E-2</v>
      </c>
      <c r="AA18" s="47" t="s">
        <v>169</v>
      </c>
      <c r="AB18" s="36" t="str">
        <f>VLOOKUP($A$18&amp;"_"&amp;AB$41,bassins_diff_tri!$B:$H,AB$40,0)</f>
        <v>Viticulteurs, arboriculteurs salariés, cueilleurs</v>
      </c>
      <c r="AC18" s="47">
        <f>VLOOKUP($A$18&amp;"_"&amp;AC$41,bassins_diff_tri!$B:$H,AC$40,0)</f>
        <v>210.13193961581851</v>
      </c>
      <c r="AD18" s="47">
        <f>VLOOKUP($A$18&amp;"_"&amp;AD$41,bassins_diff_tri!$B:$H,AD$40,0)</f>
        <v>47.577042931883433</v>
      </c>
      <c r="AE18" s="47">
        <f>VLOOKUP($A$18&amp;"_"&amp;AE$41,bassins_diff_tri!$B:$H,AE$40,0)</f>
        <v>210.13193961581851</v>
      </c>
      <c r="AF18" s="36" t="str">
        <f>VLOOKUP($A$18&amp;"_"&amp;AF$41,bassins_diff_tri!$B:$H,AF$40,0)</f>
        <v>Employés de libre-service</v>
      </c>
      <c r="AG18" s="47">
        <f>VLOOKUP($A$18&amp;"_"&amp;AG$41,bassins_diff_tri!$B:$H,AG$40,0)</f>
        <v>158.43753288440593</v>
      </c>
      <c r="AH18" s="47">
        <f>VLOOKUP($A$18&amp;"_"&amp;AH$41,bassins_diff_tri!$B:$H,AH$40,0)</f>
        <v>13.775013153762364</v>
      </c>
      <c r="AI18" s="47">
        <f>VLOOKUP($A$18&amp;"_"&amp;AI$41,bassins_diff_tri!$B:$H,AI$40,0)</f>
        <v>0</v>
      </c>
      <c r="AJ18" s="36" t="str">
        <f>VLOOKUP($A$18&amp;"_"&amp;AJ$41,bassins_diff_tri!$B:$H,AJ$40,0)</f>
        <v>Agents d'entretien de locaux (y compris ATSEM)</v>
      </c>
      <c r="AK18" s="47">
        <f>VLOOKUP($A$18&amp;"_"&amp;AK$41,bassins_diff_tri!$B:$H,AK$40,0)</f>
        <v>131.97697960414538</v>
      </c>
      <c r="AL18" s="47">
        <f>VLOOKUP($A$18&amp;"_"&amp;AL$41,bassins_diff_tri!$B:$H,AL$40,0)</f>
        <v>41.827171192460895</v>
      </c>
      <c r="AM18" s="47">
        <f>VLOOKUP($A$18&amp;"_"&amp;AM$41,bassins_diff_tri!$B:$H,AM$40,0)</f>
        <v>14.19789391315407</v>
      </c>
      <c r="AN18" s="36" t="str">
        <f>VLOOKUP($A$18&amp;"_"&amp;AN$41,bassins_diff_tri!$B:$H,AN$40,0)</f>
        <v>Aides à domicile, aides ménagères, travailleuses familiales</v>
      </c>
      <c r="AO18" s="47">
        <f>VLOOKUP($A$18&amp;"_"&amp;AO$41,bassins_diff_tri!$B:$H,AO$40,0)</f>
        <v>130.9963933810813</v>
      </c>
      <c r="AP18" s="47">
        <f>VLOOKUP($A$18&amp;"_"&amp;AP$41,bassins_diff_tri!$B:$H,AP$40,0)</f>
        <v>124.36026754396941</v>
      </c>
      <c r="AQ18" s="47">
        <f>VLOOKUP($A$18&amp;"_"&amp;AQ$41,bassins_diff_tri!$B:$H,AQ$40,0)</f>
        <v>0</v>
      </c>
      <c r="AR18" s="36" t="str">
        <f>VLOOKUP($A$18&amp;"_"&amp;AR$41,bassins_diff_tri!$B:$H,AR$40,0)</f>
        <v>Conducteurs routiers et grands routiers</v>
      </c>
      <c r="AS18" s="47">
        <f>VLOOKUP($A$18&amp;"_"&amp;AS$41,bassins_diff_tri!$B:$H,AS$40,0)</f>
        <v>129.91508426229015</v>
      </c>
      <c r="AT18" s="47">
        <f>VLOOKUP($A$18&amp;"_"&amp;AT$41,bassins_diff_tri!$B:$H,AT$40,0)</f>
        <v>86.516294686972856</v>
      </c>
      <c r="AU18" s="47">
        <f>VLOOKUP($A$18&amp;"_"&amp;AU$41,bassins_diff_tri!$B:$H,AU$40,0)</f>
        <v>0</v>
      </c>
      <c r="AV18" s="36" t="str">
        <f>VLOOKUP($A$18&amp;"_"&amp;AV$41,bassins_diff_tri!$B:$H,AV$40,0)</f>
        <v>Ouvriers non qualifiés métallerie, serrurerie, montage (y compris réparateurs)</v>
      </c>
      <c r="AW18" s="47">
        <f>VLOOKUP($A$18&amp;"_"&amp;AW$41,bassins_diff_tri!$B:$H,AW$40,0)</f>
        <v>114.69016075634461</v>
      </c>
      <c r="AX18" s="47">
        <f>VLOOKUP($A$18&amp;"_"&amp;AX$41,bassins_diff_tri!$B:$H,AX$40,0)</f>
        <v>46.949207570179233</v>
      </c>
      <c r="AY18" s="47">
        <f>VLOOKUP($A$18&amp;"_"&amp;AY$41,bassins_diff_tri!$B:$H,AY$40,0)</f>
        <v>37.112746094117171</v>
      </c>
      <c r="AZ18" s="36" t="str">
        <f>VLOOKUP($A$18&amp;"_"&amp;AZ$41,bassins_diff_tri!$B:$H,AZ$40,0)</f>
        <v>Employés de maison et personnels de ménage</v>
      </c>
      <c r="BA18" s="47">
        <f>VLOOKUP($A$18&amp;"_"&amp;BA$41,bassins_diff_tri!$B:$H,BA$40,0)</f>
        <v>95.231388793466479</v>
      </c>
      <c r="BB18" s="47">
        <f>VLOOKUP($A$18&amp;"_"&amp;BB$41,bassins_diff_tri!$B:$H,BB$40,0)</f>
        <v>90.462965447464057</v>
      </c>
      <c r="BC18" s="47">
        <f>VLOOKUP($A$18&amp;"_"&amp;BC$41,bassins_diff_tri!$B:$H,BC$40,0)</f>
        <v>0</v>
      </c>
      <c r="BD18" s="36" t="str">
        <f>VLOOKUP($A$18&amp;"_"&amp;BD$41,bassins_diff_tri!$B:$H,BD$40,0)</f>
        <v>Vendeurs généralistes</v>
      </c>
      <c r="BE18" s="47">
        <f>VLOOKUP($A$18&amp;"_"&amp;BE$41,bassins_diff_tri!$B:$H,BE$40,0)</f>
        <v>94.621233396049846</v>
      </c>
      <c r="BF18" s="47">
        <f>VLOOKUP($A$18&amp;"_"&amp;BF$41,bassins_diff_tri!$B:$H,BF$40,0)</f>
        <v>15</v>
      </c>
      <c r="BG18" s="47">
        <f>VLOOKUP($A$18&amp;"_"&amp;BG$41,bassins_diff_tri!$B:$H,BG$40,0)</f>
        <v>46</v>
      </c>
      <c r="BH18" s="36" t="str">
        <f>VLOOKUP($A$18&amp;"_"&amp;BH$41,bassins_diff_tri!$B:$H,BH$40,0)</f>
        <v>Ouvriers non qualifiés de l'emballage et manutentionnaires</v>
      </c>
      <c r="BI18" s="47">
        <f>VLOOKUP($A$18&amp;"_"&amp;BI$41,bassins_diff_tri!$B:$H,BI$40,0)</f>
        <v>89.068578544799863</v>
      </c>
      <c r="BJ18" s="47">
        <f>VLOOKUP($A$18&amp;"_"&amp;BJ$41,bassins_diff_tri!$B:$H,BJ$40,0)</f>
        <v>51.894808254640225</v>
      </c>
      <c r="BK18" s="47">
        <f>VLOOKUP($A$18&amp;"_"&amp;BK$41,bassins_diff_tri!$B:$H,BK$40,0)</f>
        <v>59.444475787789941</v>
      </c>
      <c r="BL18" s="36" t="str">
        <f>VLOOKUP($A$18&amp;"_"&amp;BL$41,bassins_diff_tri!$B:$H,BL$40,0)</f>
        <v>Aides-soignants (aides médico-psychologiques, auxiliaires de puériculture, assistants médicaux…)</v>
      </c>
      <c r="BM18" s="47">
        <f>VLOOKUP($A$18&amp;"_"&amp;BM$41,bassins_diff_tri!$B:$H,BM$40,0)</f>
        <v>81.216411199475488</v>
      </c>
      <c r="BN18" s="47">
        <f>VLOOKUP($A$18&amp;"_"&amp;BN$41,bassins_diff_tri!$B:$H,BN$40,0)</f>
        <v>54.671907851027974</v>
      </c>
      <c r="BO18" s="47">
        <f>VLOOKUP($A$18&amp;"_"&amp;BO$41,bassins_diff_tri!$B:$H,BO$40,0)</f>
        <v>0</v>
      </c>
      <c r="BP18" s="47"/>
      <c r="BQ18" s="138">
        <v>280.21582042237549</v>
      </c>
      <c r="BR18" s="138">
        <v>200.20464442179906</v>
      </c>
      <c r="BS18" s="138">
        <v>312.00533321606696</v>
      </c>
      <c r="BT18" s="138">
        <v>581.79013793985678</v>
      </c>
      <c r="BU18" s="138">
        <v>1749.817529066278</v>
      </c>
      <c r="BV18" s="138">
        <v>336.56502926641633</v>
      </c>
      <c r="BW18" s="138">
        <v>199.46777579593521</v>
      </c>
      <c r="BX18" s="138">
        <v>6.6273873515760009</v>
      </c>
      <c r="BY18" s="138">
        <v>71.548898158616026</v>
      </c>
      <c r="BZ18" s="138">
        <v>33.88751586901892</v>
      </c>
      <c r="CA18" s="138">
        <v>353.43458492188307</v>
      </c>
      <c r="CB18" s="138">
        <v>206.29431964219179</v>
      </c>
      <c r="CC18" s="138">
        <v>370.88641407787418</v>
      </c>
      <c r="CD18" s="138">
        <v>171.10560398276658</v>
      </c>
      <c r="CE18" s="140">
        <f t="shared" si="7"/>
        <v>3124.0334650663763</v>
      </c>
      <c r="CF18" s="33">
        <v>357.09128701184852</v>
      </c>
      <c r="CG18" s="33">
        <v>753.7248809743611</v>
      </c>
      <c r="CH18" s="33">
        <v>348.53113210439136</v>
      </c>
      <c r="CI18" s="33">
        <v>476.80698390889671</v>
      </c>
      <c r="CJ18" s="33">
        <v>532.89726344787391</v>
      </c>
      <c r="CK18" s="33">
        <v>325.66454654071583</v>
      </c>
      <c r="CL18" s="33">
        <v>218.62700216913004</v>
      </c>
      <c r="CM18" s="33">
        <v>110.69036890915928</v>
      </c>
      <c r="CN18" s="34">
        <f t="shared" si="14"/>
        <v>3124.0334650663767</v>
      </c>
      <c r="CO18" s="141" t="s">
        <v>157</v>
      </c>
      <c r="CP18" s="141" t="s">
        <v>55</v>
      </c>
      <c r="CQ18" s="141" t="s">
        <v>43</v>
      </c>
      <c r="CR18" s="141" t="s">
        <v>130</v>
      </c>
      <c r="CS18" s="141" t="s">
        <v>123</v>
      </c>
    </row>
    <row r="19" spans="1:97" s="71" customFormat="1" ht="13.5" x14ac:dyDescent="0.2">
      <c r="A19" s="68">
        <v>1115</v>
      </c>
      <c r="B19" s="15" t="s">
        <v>170</v>
      </c>
      <c r="C19" s="118">
        <v>2931.0459228336867</v>
      </c>
      <c r="D19" s="118">
        <v>3824.6461224830009</v>
      </c>
      <c r="E19" s="121">
        <f t="shared" si="12"/>
        <v>0.30487417228365921</v>
      </c>
      <c r="F19" s="118">
        <v>1200.0144032197823</v>
      </c>
      <c r="G19" s="118">
        <v>1735.069989605</v>
      </c>
      <c r="H19" s="121">
        <f t="shared" si="0"/>
        <v>0.44587430363302283</v>
      </c>
      <c r="I19" s="118">
        <v>525.78336280575854</v>
      </c>
      <c r="J19" s="118">
        <v>382.58647195600008</v>
      </c>
      <c r="K19" s="121">
        <f t="shared" si="1"/>
        <v>-0.27234960438004585</v>
      </c>
      <c r="L19" s="26">
        <v>829.94076827926699</v>
      </c>
      <c r="M19" s="26">
        <v>1017.5434412772534</v>
      </c>
      <c r="N19" s="27">
        <f t="shared" si="2"/>
        <v>0.22604344812093857</v>
      </c>
      <c r="O19" s="118">
        <v>4508.0000000638847</v>
      </c>
      <c r="P19" s="118">
        <v>4530.0000000242298</v>
      </c>
      <c r="Q19" s="121">
        <f t="shared" si="3"/>
        <v>4.8802129458813681E-3</v>
      </c>
      <c r="R19" s="131">
        <v>931.650658568106</v>
      </c>
      <c r="S19" s="131">
        <v>1112.0260515192092</v>
      </c>
      <c r="T19" s="121">
        <f t="shared" si="4"/>
        <v>0.19360839955647102</v>
      </c>
      <c r="U19" s="135">
        <f t="shared" si="15"/>
        <v>0.20666607332628731</v>
      </c>
      <c r="V19" s="135">
        <f t="shared" si="13"/>
        <v>0.24548036457246386</v>
      </c>
      <c r="W19" s="27" t="str">
        <f t="shared" si="5"/>
        <v>3,9 pt(s)</v>
      </c>
      <c r="X19" s="26">
        <v>55216.227392788001</v>
      </c>
      <c r="Y19" s="26">
        <v>54357.719785121066</v>
      </c>
      <c r="Z19" s="27">
        <f t="shared" si="6"/>
        <v>-1.5548103305932592E-2</v>
      </c>
      <c r="AA19" s="47" t="s">
        <v>170</v>
      </c>
      <c r="AB19" s="36" t="str">
        <f>VLOOKUP($A$19&amp;"_"&amp;AB$41,bassins_diff_tri!$B:$H,AB$40,0)</f>
        <v>Aides, apprentis, employés polyvalents de cuisine (y compris crêpes, pizzas, plonge …)</v>
      </c>
      <c r="AC19" s="47">
        <f>VLOOKUP($A$19&amp;"_"&amp;AC$41,bassins_diff_tri!$B:$H,AC$40,0)</f>
        <v>216.47308723037213</v>
      </c>
      <c r="AD19" s="47">
        <f>VLOOKUP($A$19&amp;"_"&amp;AD$41,bassins_diff_tri!$B:$H,AD$40,0)</f>
        <v>120.45756699229716</v>
      </c>
      <c r="AE19" s="47">
        <f>VLOOKUP($A$19&amp;"_"&amp;AE$41,bassins_diff_tri!$B:$H,AE$40,0)</f>
        <v>43.454588619699123</v>
      </c>
      <c r="AF19" s="36" t="str">
        <f>VLOOKUP($A$19&amp;"_"&amp;AF$41,bassins_diff_tri!$B:$H,AF$40,0)</f>
        <v>Employés de libre-service</v>
      </c>
      <c r="AG19" s="47">
        <f>VLOOKUP($A$19&amp;"_"&amp;AG$41,bassins_diff_tri!$B:$H,AG$40,0)</f>
        <v>188.17330605878382</v>
      </c>
      <c r="AH19" s="47">
        <f>VLOOKUP($A$19&amp;"_"&amp;AH$41,bassins_diff_tri!$B:$H,AH$40,0)</f>
        <v>15.475711498688707</v>
      </c>
      <c r="AI19" s="47">
        <f>VLOOKUP($A$19&amp;"_"&amp;AI$41,bassins_diff_tri!$B:$H,AI$40,0)</f>
        <v>0</v>
      </c>
      <c r="AJ19" s="36" t="str">
        <f>VLOOKUP($A$19&amp;"_"&amp;AJ$41,bassins_diff_tri!$B:$H,AJ$40,0)</f>
        <v>Aides-soignants (aides médico-psychologiques, auxiliaires de puériculture, assistants médicaux…)</v>
      </c>
      <c r="AK19" s="47">
        <f>VLOOKUP($A$19&amp;"_"&amp;AK$41,bassins_diff_tri!$B:$H,AK$40,0)</f>
        <v>152.72032949929914</v>
      </c>
      <c r="AL19" s="47">
        <f>VLOOKUP($A$19&amp;"_"&amp;AL$41,bassins_diff_tri!$B:$H,AL$40,0)</f>
        <v>62.164184096028428</v>
      </c>
      <c r="AM19" s="47">
        <f>VLOOKUP($A$19&amp;"_"&amp;AM$41,bassins_diff_tri!$B:$H,AM$40,0)</f>
        <v>21.007203321630008</v>
      </c>
      <c r="AN19" s="36" t="str">
        <f>VLOOKUP($A$19&amp;"_"&amp;AN$41,bassins_diff_tri!$B:$H,AN$40,0)</f>
        <v>Agents d'entretien de locaux (y compris ATSEM)</v>
      </c>
      <c r="AO19" s="47">
        <f>VLOOKUP($A$19&amp;"_"&amp;AO$41,bassins_diff_tri!$B:$H,AO$40,0)</f>
        <v>151.75105825439971</v>
      </c>
      <c r="AP19" s="47">
        <f>VLOOKUP($A$19&amp;"_"&amp;AP$41,bassins_diff_tri!$B:$H,AP$40,0)</f>
        <v>7.8120782263964381</v>
      </c>
      <c r="AQ19" s="47">
        <f>VLOOKUP($A$19&amp;"_"&amp;AQ$41,bassins_diff_tri!$B:$H,AQ$40,0)</f>
        <v>16.600358938624492</v>
      </c>
      <c r="AR19" s="36" t="str">
        <f>VLOOKUP($A$19&amp;"_"&amp;AR$41,bassins_diff_tri!$B:$H,AR$40,0)</f>
        <v>Assistantes maternelles</v>
      </c>
      <c r="AS19" s="47">
        <f>VLOOKUP($A$19&amp;"_"&amp;AS$41,bassins_diff_tri!$B:$H,AS$40,0)</f>
        <v>150</v>
      </c>
      <c r="AT19" s="47">
        <f>VLOOKUP($A$19&amp;"_"&amp;AT$41,bassins_diff_tri!$B:$H,AT$40,0)</f>
        <v>50</v>
      </c>
      <c r="AU19" s="47">
        <f>VLOOKUP($A$19&amp;"_"&amp;AU$41,bassins_diff_tri!$B:$H,AU$40,0)</f>
        <v>0</v>
      </c>
      <c r="AV19" s="36" t="str">
        <f>VLOOKUP($A$19&amp;"_"&amp;AV$41,bassins_diff_tri!$B:$H,AV$40,0)</f>
        <v>Conducteurs de transport en commun sur route</v>
      </c>
      <c r="AW19" s="47">
        <f>VLOOKUP($A$19&amp;"_"&amp;AW$41,bassins_diff_tri!$B:$H,AW$40,0)</f>
        <v>122.44315033521393</v>
      </c>
      <c r="AX19" s="47">
        <f>VLOOKUP($A$19&amp;"_"&amp;AX$41,bassins_diff_tri!$B:$H,AX$40,0)</f>
        <v>48.507309811987412</v>
      </c>
      <c r="AY19" s="47">
        <f>VLOOKUP($A$19&amp;"_"&amp;AY$41,bassins_diff_tri!$B:$H,AY$40,0)</f>
        <v>15.883416129836391</v>
      </c>
      <c r="AZ19" s="36" t="str">
        <f>VLOOKUP($A$19&amp;"_"&amp;AZ$41,bassins_diff_tri!$B:$H,AZ$40,0)</f>
        <v>Vendeurs en habillement, accessoires et articles de luxe, sport, loisirs et culture</v>
      </c>
      <c r="BA19" s="47">
        <f>VLOOKUP($A$19&amp;"_"&amp;BA$41,bassins_diff_tri!$B:$H,BA$40,0)</f>
        <v>101.62312996338801</v>
      </c>
      <c r="BB19" s="47">
        <f>VLOOKUP($A$19&amp;"_"&amp;BB$41,bassins_diff_tri!$B:$H,BB$40,0)</f>
        <v>27.392664919479696</v>
      </c>
      <c r="BC19" s="47">
        <f>VLOOKUP($A$19&amp;"_"&amp;BC$41,bassins_diff_tri!$B:$H,BC$40,0)</f>
        <v>64.147508939907311</v>
      </c>
      <c r="BD19" s="36" t="str">
        <f>VLOOKUP($A$19&amp;"_"&amp;BD$41,bassins_diff_tri!$B:$H,BD$40,0)</f>
        <v>Aides à domicile, aides ménagères, travailleuses familiales</v>
      </c>
      <c r="BE19" s="47">
        <f>VLOOKUP($A$19&amp;"_"&amp;BE$41,bassins_diff_tri!$B:$H,BE$40,0)</f>
        <v>99.346065128052757</v>
      </c>
      <c r="BF19" s="47">
        <f>VLOOKUP($A$19&amp;"_"&amp;BF$41,bassins_diff_tri!$B:$H,BF$40,0)</f>
        <v>75.02244611808824</v>
      </c>
      <c r="BG19" s="47">
        <f>VLOOKUP($A$19&amp;"_"&amp;BG$41,bassins_diff_tri!$B:$H,BG$40,0)</f>
        <v>0</v>
      </c>
      <c r="BH19" s="36" t="str">
        <f>VLOOKUP($A$19&amp;"_"&amp;BH$41,bassins_diff_tri!$B:$H,BH$40,0)</f>
        <v>Ouvriers non qualifiés de l'emballage et manutentionnaires</v>
      </c>
      <c r="BI19" s="47">
        <f>VLOOKUP($A$19&amp;"_"&amp;BI$41,bassins_diff_tri!$B:$H,BI$40,0)</f>
        <v>98.593338469709082</v>
      </c>
      <c r="BJ19" s="47">
        <f>VLOOKUP($A$19&amp;"_"&amp;BJ$41,bassins_diff_tri!$B:$H,BJ$40,0)</f>
        <v>38.005486200147217</v>
      </c>
      <c r="BK19" s="47">
        <f>VLOOKUP($A$19&amp;"_"&amp;BK$41,bassins_diff_tri!$B:$H,BK$40,0)</f>
        <v>9.0869353132575732</v>
      </c>
      <c r="BL19" s="36" t="str">
        <f>VLOOKUP($A$19&amp;"_"&amp;BL$41,bassins_diff_tri!$B:$H,BL$40,0)</f>
        <v>Educateurs spécialisés</v>
      </c>
      <c r="BM19" s="47">
        <f>VLOOKUP($A$19&amp;"_"&amp;BM$41,bassins_diff_tri!$B:$H,BM$40,0)</f>
        <v>85.244651236104005</v>
      </c>
      <c r="BN19" s="47">
        <f>VLOOKUP($A$19&amp;"_"&amp;BN$41,bassins_diff_tri!$B:$H,BN$40,0)</f>
        <v>44.172551033889228</v>
      </c>
      <c r="BO19" s="47">
        <f>VLOOKUP($A$19&amp;"_"&amp;BO$41,bassins_diff_tri!$B:$H,BO$40,0)</f>
        <v>4.2294468439864321</v>
      </c>
      <c r="BP19" s="47"/>
      <c r="BQ19" s="138">
        <v>103.43290949575356</v>
      </c>
      <c r="BR19" s="138">
        <v>221.82900297408952</v>
      </c>
      <c r="BS19" s="138">
        <v>271.76410304867863</v>
      </c>
      <c r="BT19" s="138">
        <v>729.51986301732882</v>
      </c>
      <c r="BU19" s="138">
        <v>2498.1002439457275</v>
      </c>
      <c r="BV19" s="138">
        <v>219.54519970534946</v>
      </c>
      <c r="BW19" s="138">
        <v>388.94649110297127</v>
      </c>
      <c r="BX19" s="138">
        <v>112.6649608356748</v>
      </c>
      <c r="BY19" s="138">
        <v>82.983972204284825</v>
      </c>
      <c r="BZ19" s="138">
        <v>73.511356171163555</v>
      </c>
      <c r="CA19" s="138">
        <v>310.40007069922638</v>
      </c>
      <c r="CB19" s="138">
        <v>438.18226181858762</v>
      </c>
      <c r="CC19" s="138">
        <v>695.02560250661088</v>
      </c>
      <c r="CD19" s="138">
        <v>176.84032890185892</v>
      </c>
      <c r="CE19" s="140">
        <f t="shared" si="7"/>
        <v>3824.646122481578</v>
      </c>
      <c r="CF19" s="33">
        <v>289.26053305457566</v>
      </c>
      <c r="CG19" s="33">
        <v>705.59469665235679</v>
      </c>
      <c r="CH19" s="33">
        <v>204.71881922991849</v>
      </c>
      <c r="CI19" s="33">
        <v>389.75497325729168</v>
      </c>
      <c r="CJ19" s="33">
        <v>638.42072325268168</v>
      </c>
      <c r="CK19" s="33">
        <v>685.30273127939279</v>
      </c>
      <c r="CL19" s="33">
        <v>153.25807134380818</v>
      </c>
      <c r="CM19" s="33">
        <v>758.3355744115529</v>
      </c>
      <c r="CN19" s="34">
        <f t="shared" si="14"/>
        <v>3824.646122481578</v>
      </c>
      <c r="CO19" s="141" t="s">
        <v>128</v>
      </c>
      <c r="CP19" s="141" t="s">
        <v>55</v>
      </c>
      <c r="CQ19" s="141" t="s">
        <v>132</v>
      </c>
      <c r="CR19" s="141" t="s">
        <v>43</v>
      </c>
      <c r="CS19" s="141" t="s">
        <v>53</v>
      </c>
    </row>
    <row r="20" spans="1:97" s="71" customFormat="1" ht="13.5" x14ac:dyDescent="0.2">
      <c r="A20" s="68">
        <v>1116</v>
      </c>
      <c r="B20" s="15" t="s">
        <v>171</v>
      </c>
      <c r="C20" s="118">
        <v>2416.1402537346271</v>
      </c>
      <c r="D20" s="118">
        <v>3001.5160094660005</v>
      </c>
      <c r="E20" s="121">
        <f t="shared" si="12"/>
        <v>0.24227722493615933</v>
      </c>
      <c r="F20" s="118">
        <v>1087.6293913051268</v>
      </c>
      <c r="G20" s="118">
        <v>1558.7920808150002</v>
      </c>
      <c r="H20" s="121">
        <f t="shared" si="0"/>
        <v>0.43320150528893908</v>
      </c>
      <c r="I20" s="118">
        <v>596.67717965216696</v>
      </c>
      <c r="J20" s="118">
        <v>749.13513525000008</v>
      </c>
      <c r="K20" s="121">
        <f t="shared" si="1"/>
        <v>0.25551162470585598</v>
      </c>
      <c r="L20" s="26">
        <v>697.69012563455397</v>
      </c>
      <c r="M20" s="26">
        <v>824.19347194170734</v>
      </c>
      <c r="N20" s="27">
        <f t="shared" si="2"/>
        <v>0.18131738096780103</v>
      </c>
      <c r="O20" s="118">
        <v>4354.0000005111151</v>
      </c>
      <c r="P20" s="118">
        <v>4345.0000005294114</v>
      </c>
      <c r="Q20" s="121">
        <f t="shared" si="3"/>
        <v>-2.0670647635845363E-3</v>
      </c>
      <c r="R20" s="131">
        <v>688.38106431619019</v>
      </c>
      <c r="S20" s="131">
        <v>895.00957637262832</v>
      </c>
      <c r="T20" s="121">
        <f t="shared" si="4"/>
        <v>0.30016588597144889</v>
      </c>
      <c r="U20" s="135">
        <f t="shared" si="15"/>
        <v>0.15810313831772652</v>
      </c>
      <c r="V20" s="135">
        <f t="shared" si="13"/>
        <v>0.2059860935013986</v>
      </c>
      <c r="W20" s="27" t="str">
        <f t="shared" si="5"/>
        <v>4,8 pt(s)</v>
      </c>
      <c r="X20" s="26">
        <v>38259.2137966226</v>
      </c>
      <c r="Y20" s="26">
        <v>38056.954566952911</v>
      </c>
      <c r="Z20" s="27">
        <f t="shared" si="6"/>
        <v>-5.2865495549608843E-3</v>
      </c>
      <c r="AA20" s="47" t="s">
        <v>171</v>
      </c>
      <c r="AB20" s="36" t="str">
        <f>VLOOKUP($A$20&amp;"_"&amp;AB$41,bassins_diff_tri!$B:$H,AB$40,0)</f>
        <v>Ouvriers non qualifiés de l'emballage et manutentionnaires</v>
      </c>
      <c r="AC20" s="47">
        <f>VLOOKUP($A$20&amp;"_"&amp;AC$41,bassins_diff_tri!$B:$H,AC$40,0)</f>
        <v>355.33798059866433</v>
      </c>
      <c r="AD20" s="47">
        <f>VLOOKUP($A$20&amp;"_"&amp;AD$41,bassins_diff_tri!$B:$H,AD$40,0)</f>
        <v>238.26354999772002</v>
      </c>
      <c r="AE20" s="47">
        <f>VLOOKUP($A$20&amp;"_"&amp;AE$41,bassins_diff_tri!$B:$H,AE$40,0)</f>
        <v>105</v>
      </c>
      <c r="AF20" s="36" t="str">
        <f>VLOOKUP($A$20&amp;"_"&amp;AF$41,bassins_diff_tri!$B:$H,AF$40,0)</f>
        <v>Conducteurs routiers et grands routiers</v>
      </c>
      <c r="AG20" s="47">
        <f>VLOOKUP($A$20&amp;"_"&amp;AG$41,bassins_diff_tri!$B:$H,AG$40,0)</f>
        <v>184.47502064049735</v>
      </c>
      <c r="AH20" s="47">
        <f>VLOOKUP($A$20&amp;"_"&amp;AH$41,bassins_diff_tri!$B:$H,AH$40,0)</f>
        <v>81.053757888518149</v>
      </c>
      <c r="AI20" s="47">
        <f>VLOOKUP($A$20&amp;"_"&amp;AI$41,bassins_diff_tri!$B:$H,AI$40,0)</f>
        <v>10</v>
      </c>
      <c r="AJ20" s="36" t="str">
        <f>VLOOKUP($A$20&amp;"_"&amp;AJ$41,bassins_diff_tri!$B:$H,AJ$40,0)</f>
        <v>Artistes, professeurs d'art (musique, danse, spectacles)</v>
      </c>
      <c r="AK20" s="47">
        <f>VLOOKUP($A$20&amp;"_"&amp;AK$41,bassins_diff_tri!$B:$H,AK$40,0)</f>
        <v>142.61600288171991</v>
      </c>
      <c r="AL20" s="47">
        <f>VLOOKUP($A$20&amp;"_"&amp;AL$41,bassins_diff_tri!$B:$H,AL$40,0)</f>
        <v>21.584974979396527</v>
      </c>
      <c r="AM20" s="47">
        <f>VLOOKUP($A$20&amp;"_"&amp;AM$41,bassins_diff_tri!$B:$H,AM$40,0)</f>
        <v>45.020103429791497</v>
      </c>
      <c r="AN20" s="36" t="str">
        <f>VLOOKUP($A$20&amp;"_"&amp;AN$41,bassins_diff_tri!$B:$H,AN$40,0)</f>
        <v>Agriculteurs salariés, ouvriers agricoles</v>
      </c>
      <c r="AO20" s="47">
        <f>VLOOKUP($A$20&amp;"_"&amp;AO$41,bassins_diff_tri!$B:$H,AO$40,0)</f>
        <v>134.71735891028223</v>
      </c>
      <c r="AP20" s="47">
        <f>VLOOKUP($A$20&amp;"_"&amp;AP$41,bassins_diff_tri!$B:$H,AP$40,0)</f>
        <v>80.650763412347388</v>
      </c>
      <c r="AQ20" s="47">
        <f>VLOOKUP($A$20&amp;"_"&amp;AQ$41,bassins_diff_tri!$B:$H,AQ$40,0)</f>
        <v>115.63135576214466</v>
      </c>
      <c r="AR20" s="36" t="str">
        <f>VLOOKUP($A$20&amp;"_"&amp;AR$41,bassins_diff_tri!$B:$H,AR$40,0)</f>
        <v>Employés de libre-service</v>
      </c>
      <c r="AS20" s="47">
        <f>VLOOKUP($A$20&amp;"_"&amp;AS$41,bassins_diff_tri!$B:$H,AS$40,0)</f>
        <v>112.74289460473588</v>
      </c>
      <c r="AT20" s="47">
        <f>VLOOKUP($A$20&amp;"_"&amp;AT$41,bassins_diff_tri!$B:$H,AT$40,0)</f>
        <v>5.6921315657535807</v>
      </c>
      <c r="AU20" s="47">
        <f>VLOOKUP($A$20&amp;"_"&amp;AU$41,bassins_diff_tri!$B:$H,AU$40,0)</f>
        <v>16.916807665353563</v>
      </c>
      <c r="AV20" s="36" t="str">
        <f>VLOOKUP($A$20&amp;"_"&amp;AV$41,bassins_diff_tri!$B:$H,AV$40,0)</f>
        <v>Autres ouvriers non qualifiés de type industriel (préparation matières  et  prod. industriels...)</v>
      </c>
      <c r="AW20" s="47">
        <f>VLOOKUP($A$20&amp;"_"&amp;AW$41,bassins_diff_tri!$B:$H,AW$40,0)</f>
        <v>102.74984657151836</v>
      </c>
      <c r="AX20" s="47">
        <f>VLOOKUP($A$20&amp;"_"&amp;AX$41,bassins_diff_tri!$B:$H,AX$40,0)</f>
        <v>0</v>
      </c>
      <c r="AY20" s="47">
        <f>VLOOKUP($A$20&amp;"_"&amp;AY$41,bassins_diff_tri!$B:$H,AY$40,0)</f>
        <v>0</v>
      </c>
      <c r="AZ20" s="36" t="str">
        <f>VLOOKUP($A$20&amp;"_"&amp;AZ$41,bassins_diff_tri!$B:$H,AZ$40,0)</f>
        <v>Maraîchers, horticulteurs salariés</v>
      </c>
      <c r="BA20" s="47">
        <f>VLOOKUP($A$20&amp;"_"&amp;BA$41,bassins_diff_tri!$B:$H,BA$40,0)</f>
        <v>89.012234366477486</v>
      </c>
      <c r="BB20" s="47">
        <f>VLOOKUP($A$20&amp;"_"&amp;BB$41,bassins_diff_tri!$B:$H,BB$40,0)</f>
        <v>84.088898204621458</v>
      </c>
      <c r="BC20" s="47">
        <f>VLOOKUP($A$20&amp;"_"&amp;BC$41,bassins_diff_tri!$B:$H,BC$40,0)</f>
        <v>69.052220851414489</v>
      </c>
      <c r="BD20" s="36" t="str">
        <f>VLOOKUP($A$20&amp;"_"&amp;BD$41,bassins_diff_tri!$B:$H,BD$40,0)</f>
        <v>Ingénieurs et cadres d'études, R et D en informatique, chefs de projets informatiques</v>
      </c>
      <c r="BE20" s="47">
        <f>VLOOKUP($A$20&amp;"_"&amp;BE$41,bassins_diff_tri!$B:$H,BE$40,0)</f>
        <v>88.479234493547423</v>
      </c>
      <c r="BF20" s="47">
        <f>VLOOKUP($A$20&amp;"_"&amp;BF$41,bassins_diff_tri!$B:$H,BF$40,0)</f>
        <v>88.479234493547423</v>
      </c>
      <c r="BG20" s="47">
        <f>VLOOKUP($A$20&amp;"_"&amp;BG$41,bassins_diff_tri!$B:$H,BG$40,0)</f>
        <v>0</v>
      </c>
      <c r="BH20" s="36" t="str">
        <f>VLOOKUP($A$20&amp;"_"&amp;BH$41,bassins_diff_tri!$B:$H,BH$40,0)</f>
        <v>Aides à domicile, aides ménagères, travailleuses familiales</v>
      </c>
      <c r="BI20" s="47">
        <f>VLOOKUP($A$20&amp;"_"&amp;BI$41,bassins_diff_tri!$B:$H,BI$40,0)</f>
        <v>87.911655597455649</v>
      </c>
      <c r="BJ20" s="47">
        <f>VLOOKUP($A$20&amp;"_"&amp;BJ$41,bassins_diff_tri!$B:$H,BJ$40,0)</f>
        <v>80.570359344614161</v>
      </c>
      <c r="BK20" s="47">
        <f>VLOOKUP($A$20&amp;"_"&amp;BK$41,bassins_diff_tri!$B:$H,BK$40,0)</f>
        <v>12.70831761490488</v>
      </c>
      <c r="BL20" s="36" t="str">
        <f>VLOOKUP($A$20&amp;"_"&amp;BL$41,bassins_diff_tri!$B:$H,BL$40,0)</f>
        <v>Aides-soignants (aides médico-psychologiques, auxiliaires de puériculture, assistants médicaux…)</v>
      </c>
      <c r="BM20" s="47">
        <f>VLOOKUP($A$20&amp;"_"&amp;BM$41,bassins_diff_tri!$B:$H,BM$40,0)</f>
        <v>86.629196737261552</v>
      </c>
      <c r="BN20" s="47">
        <f>VLOOKUP($A$20&amp;"_"&amp;BN$41,bassins_diff_tri!$B:$H,BN$40,0)</f>
        <v>30.38518608364609</v>
      </c>
      <c r="BO20" s="47">
        <f>VLOOKUP($A$20&amp;"_"&amp;BO$41,bassins_diff_tri!$B:$H,BO$40,0)</f>
        <v>30.324240565783398</v>
      </c>
      <c r="BP20" s="47"/>
      <c r="BQ20" s="138">
        <v>375.04662036223135</v>
      </c>
      <c r="BR20" s="138">
        <v>235.06475087198089</v>
      </c>
      <c r="BS20" s="138">
        <v>292.97935854165769</v>
      </c>
      <c r="BT20" s="138">
        <v>373.86901481601416</v>
      </c>
      <c r="BU20" s="138">
        <v>1724.5562648736247</v>
      </c>
      <c r="BV20" s="138">
        <v>517.43034366534903</v>
      </c>
      <c r="BW20" s="138">
        <v>195.68252264004127</v>
      </c>
      <c r="BX20" s="138">
        <v>109.32628175158179</v>
      </c>
      <c r="BY20" s="138">
        <v>14.096230691025387</v>
      </c>
      <c r="BZ20" s="138">
        <v>7.954969717695298</v>
      </c>
      <c r="CA20" s="138">
        <v>339.400007492231</v>
      </c>
      <c r="CB20" s="138">
        <v>74.148206973343349</v>
      </c>
      <c r="CC20" s="138">
        <v>296.25220875130435</v>
      </c>
      <c r="CD20" s="138">
        <v>170.26549319105317</v>
      </c>
      <c r="CE20" s="140">
        <f t="shared" si="7"/>
        <v>3001.5160094655089</v>
      </c>
      <c r="CF20" s="33">
        <v>500.79310655135282</v>
      </c>
      <c r="CG20" s="33">
        <v>619.9082195546813</v>
      </c>
      <c r="CH20" s="33">
        <v>389.59294668772645</v>
      </c>
      <c r="CI20" s="33">
        <v>159.47375200707526</v>
      </c>
      <c r="CJ20" s="33">
        <v>327.56137306214384</v>
      </c>
      <c r="CK20" s="33">
        <v>407.58097194520701</v>
      </c>
      <c r="CL20" s="33">
        <v>473.45834051651093</v>
      </c>
      <c r="CM20" s="33">
        <v>123.14729914081127</v>
      </c>
      <c r="CN20" s="34">
        <f t="shared" si="14"/>
        <v>3001.5160094655093</v>
      </c>
      <c r="CO20" s="141" t="s">
        <v>49</v>
      </c>
      <c r="CP20" s="141" t="s">
        <v>123</v>
      </c>
      <c r="CQ20" s="141" t="s">
        <v>131</v>
      </c>
      <c r="CR20" s="141" t="s">
        <v>158</v>
      </c>
      <c r="CS20" s="141" t="s">
        <v>55</v>
      </c>
    </row>
    <row r="21" spans="1:97" s="71" customFormat="1" ht="13.5" x14ac:dyDescent="0.2">
      <c r="A21" s="67">
        <v>1117</v>
      </c>
      <c r="B21" s="30" t="s">
        <v>172</v>
      </c>
      <c r="C21" s="118">
        <v>9342.9369809122782</v>
      </c>
      <c r="D21" s="118">
        <v>11686.013822370998</v>
      </c>
      <c r="E21" s="121">
        <f t="shared" si="12"/>
        <v>0.25078589807954943</v>
      </c>
      <c r="F21" s="118">
        <v>4070.5508567581173</v>
      </c>
      <c r="G21" s="118">
        <v>5369.28454685</v>
      </c>
      <c r="H21" s="121">
        <f t="shared" si="0"/>
        <v>0.31905600391545641</v>
      </c>
      <c r="I21" s="118">
        <v>1591.6615359313475</v>
      </c>
      <c r="J21" s="118">
        <v>2291.2244162689999</v>
      </c>
      <c r="K21" s="121">
        <f t="shared" si="1"/>
        <v>0.43951736254549179</v>
      </c>
      <c r="L21" s="26">
        <v>2490.4692008987499</v>
      </c>
      <c r="M21" s="26">
        <v>3478.646746575811</v>
      </c>
      <c r="N21" s="27">
        <f t="shared" si="2"/>
        <v>0.39678368450429002</v>
      </c>
      <c r="O21" s="118">
        <v>14124.036831688394</v>
      </c>
      <c r="P21" s="118">
        <v>14508.962094291401</v>
      </c>
      <c r="Q21" s="121">
        <f t="shared" si="3"/>
        <v>2.7253204391211705E-2</v>
      </c>
      <c r="R21" s="131">
        <v>2806.3221212409853</v>
      </c>
      <c r="S21" s="131">
        <v>3565.6243875931486</v>
      </c>
      <c r="T21" s="121">
        <f t="shared" si="4"/>
        <v>0.27056846418485692</v>
      </c>
      <c r="U21" s="135">
        <f t="shared" si="15"/>
        <v>0.19869122083742941</v>
      </c>
      <c r="V21" s="135">
        <f t="shared" si="13"/>
        <v>0.24575323613231131</v>
      </c>
      <c r="W21" s="27" t="str">
        <f t="shared" si="5"/>
        <v>4,7 pt(s)</v>
      </c>
      <c r="X21" s="26">
        <v>149281.81789141701</v>
      </c>
      <c r="Y21" s="26">
        <v>162406.26249845463</v>
      </c>
      <c r="Z21" s="27">
        <f t="shared" si="6"/>
        <v>8.7917234613152484E-2</v>
      </c>
      <c r="AA21" s="47" t="s">
        <v>172</v>
      </c>
      <c r="AB21" s="36" t="str">
        <f>VLOOKUP($A$21&amp;"_"&amp;AB$41,bassins_diff_tri!$B:$H,AB$40,0)</f>
        <v>Aides, apprentis, employés polyvalents de cuisine (y compris crêpes, pizzas, plonge …)</v>
      </c>
      <c r="AC21" s="47">
        <f>VLOOKUP($A$21&amp;"_"&amp;AC$41,bassins_diff_tri!$B:$H,AC$40,0)</f>
        <v>838.5236613241093</v>
      </c>
      <c r="AD21" s="47">
        <f>VLOOKUP($A$21&amp;"_"&amp;AD$41,bassins_diff_tri!$B:$H,AD$40,0)</f>
        <v>49.239518261370812</v>
      </c>
      <c r="AE21" s="47">
        <f>VLOOKUP($A$21&amp;"_"&amp;AE$41,bassins_diff_tri!$B:$H,AE$40,0)</f>
        <v>347.54767488596059</v>
      </c>
      <c r="AF21" s="36" t="str">
        <f>VLOOKUP($A$21&amp;"_"&amp;AF$41,bassins_diff_tri!$B:$H,AF$40,0)</f>
        <v>Aides à domicile, aides ménagères, travailleuses familiales</v>
      </c>
      <c r="AG21" s="47">
        <f>VLOOKUP($A$21&amp;"_"&amp;AG$41,bassins_diff_tri!$B:$H,AG$40,0)</f>
        <v>411.15079335166337</v>
      </c>
      <c r="AH21" s="47">
        <f>VLOOKUP($A$21&amp;"_"&amp;AH$41,bassins_diff_tri!$B:$H,AH$40,0)</f>
        <v>384.62764014259136</v>
      </c>
      <c r="AI21" s="47">
        <f>VLOOKUP($A$21&amp;"_"&amp;AI$41,bassins_diff_tri!$B:$H,AI$40,0)</f>
        <v>43.635064824898663</v>
      </c>
      <c r="AJ21" s="36" t="str">
        <f>VLOOKUP($A$21&amp;"_"&amp;AJ$41,bassins_diff_tri!$B:$H,AJ$40,0)</f>
        <v>Professionnels de l'animation socioculturelle (animateurs et directeurs)</v>
      </c>
      <c r="AK21" s="47">
        <f>VLOOKUP($A$21&amp;"_"&amp;AK$41,bassins_diff_tri!$B:$H,AK$40,0)</f>
        <v>389.67373508641379</v>
      </c>
      <c r="AL21" s="47">
        <f>VLOOKUP($A$21&amp;"_"&amp;AL$41,bassins_diff_tri!$B:$H,AL$40,0)</f>
        <v>78.128213374625147</v>
      </c>
      <c r="AM21" s="47">
        <f>VLOOKUP($A$21&amp;"_"&amp;AM$41,bassins_diff_tri!$B:$H,AM$40,0)</f>
        <v>184.52886586557167</v>
      </c>
      <c r="AN21" s="36" t="str">
        <f>VLOOKUP($A$21&amp;"_"&amp;AN$41,bassins_diff_tri!$B:$H,AN$40,0)</f>
        <v>Ouvriers non qualifiés de l'emballage et manutentionnaires</v>
      </c>
      <c r="AO21" s="47">
        <f>VLOOKUP($A$21&amp;"_"&amp;AO$41,bassins_diff_tri!$B:$H,AO$40,0)</f>
        <v>373.09133295072036</v>
      </c>
      <c r="AP21" s="47">
        <f>VLOOKUP($A$21&amp;"_"&amp;AP$41,bassins_diff_tri!$B:$H,AP$40,0)</f>
        <v>199.36147725658617</v>
      </c>
      <c r="AQ21" s="47">
        <f>VLOOKUP($A$21&amp;"_"&amp;AQ$41,bassins_diff_tri!$B:$H,AQ$40,0)</f>
        <v>169.29604681045754</v>
      </c>
      <c r="AR21" s="36" t="str">
        <f>VLOOKUP($A$21&amp;"_"&amp;AR$41,bassins_diff_tri!$B:$H,AR$40,0)</f>
        <v>Agents d'entretien de locaux (y compris ATSEM)</v>
      </c>
      <c r="AS21" s="47">
        <f>VLOOKUP($A$21&amp;"_"&amp;AS$41,bassins_diff_tri!$B:$H,AS$40,0)</f>
        <v>356.8613334474046</v>
      </c>
      <c r="AT21" s="47">
        <f>VLOOKUP($A$21&amp;"_"&amp;AT$41,bassins_diff_tri!$B:$H,AT$40,0)</f>
        <v>49.639135553314496</v>
      </c>
      <c r="AU21" s="47">
        <f>VLOOKUP($A$21&amp;"_"&amp;AU$41,bassins_diff_tri!$B:$H,AU$40,0)</f>
        <v>171.84822630229553</v>
      </c>
      <c r="AV21" s="36" t="str">
        <f>VLOOKUP($A$21&amp;"_"&amp;AV$41,bassins_diff_tri!$B:$H,AV$40,0)</f>
        <v>Vendeurs en habillement, accessoires et articles de luxe, sport, loisirs et culture</v>
      </c>
      <c r="AW21" s="47">
        <f>VLOOKUP($A$21&amp;"_"&amp;AW$41,bassins_diff_tri!$B:$H,AW$40,0)</f>
        <v>314.11372978648717</v>
      </c>
      <c r="AX21" s="47">
        <f>VLOOKUP($A$21&amp;"_"&amp;AX$41,bassins_diff_tri!$B:$H,AX$40,0)</f>
        <v>94.28938179963346</v>
      </c>
      <c r="AY21" s="47">
        <f>VLOOKUP($A$21&amp;"_"&amp;AY$41,bassins_diff_tri!$B:$H,AY$40,0)</f>
        <v>60.614264787537834</v>
      </c>
      <c r="AZ21" s="36" t="str">
        <f>VLOOKUP($A$21&amp;"_"&amp;AZ$41,bassins_diff_tri!$B:$H,AZ$40,0)</f>
        <v>Aides-soignants (aides médico-psychologiques, auxiliaires de puériculture, assistants médicaux…)</v>
      </c>
      <c r="BA21" s="47">
        <f>VLOOKUP($A$21&amp;"_"&amp;BA$41,bassins_diff_tri!$B:$H,BA$40,0)</f>
        <v>280.33596809097435</v>
      </c>
      <c r="BB21" s="47">
        <f>VLOOKUP($A$21&amp;"_"&amp;BB$41,bassins_diff_tri!$B:$H,BB$40,0)</f>
        <v>123.35228065046573</v>
      </c>
      <c r="BC21" s="47">
        <f>VLOOKUP($A$21&amp;"_"&amp;BC$41,bassins_diff_tri!$B:$H,BC$40,0)</f>
        <v>33.951787796659204</v>
      </c>
      <c r="BD21" s="36" t="str">
        <f>VLOOKUP($A$21&amp;"_"&amp;BD$41,bassins_diff_tri!$B:$H,BD$40,0)</f>
        <v>Employés de libre-service</v>
      </c>
      <c r="BE21" s="47">
        <f>VLOOKUP($A$21&amp;"_"&amp;BE$41,bassins_diff_tri!$B:$H,BE$40,0)</f>
        <v>278.82936909754051</v>
      </c>
      <c r="BF21" s="47">
        <f>VLOOKUP($A$21&amp;"_"&amp;BF$41,bassins_diff_tri!$B:$H,BF$40,0)</f>
        <v>69.920330812310894</v>
      </c>
      <c r="BG21" s="47">
        <f>VLOOKUP($A$21&amp;"_"&amp;BG$41,bassins_diff_tri!$B:$H,BG$40,0)</f>
        <v>106.0234044356631</v>
      </c>
      <c r="BH21" s="36" t="str">
        <f>VLOOKUP($A$21&amp;"_"&amp;BH$41,bassins_diff_tri!$B:$H,BH$40,0)</f>
        <v>Secrétaires bureautiques et assimilés (y compris secrétaires médicales)</v>
      </c>
      <c r="BI21" s="47">
        <f>VLOOKUP($A$21&amp;"_"&amp;BI$41,bassins_diff_tri!$B:$H,BI$40,0)</f>
        <v>276.39821383014367</v>
      </c>
      <c r="BJ21" s="47">
        <f>VLOOKUP($A$21&amp;"_"&amp;BJ$41,bassins_diff_tri!$B:$H,BJ$40,0)</f>
        <v>143.29241359658249</v>
      </c>
      <c r="BK21" s="47">
        <f>VLOOKUP($A$21&amp;"_"&amp;BK$41,bassins_diff_tri!$B:$H,BK$40,0)</f>
        <v>0</v>
      </c>
      <c r="BL21" s="36" t="str">
        <f>VLOOKUP($A$21&amp;"_"&amp;BL$41,bassins_diff_tri!$B:$H,BL$40,0)</f>
        <v>Commerciaux (techniciens commerciaux en entreprise)</v>
      </c>
      <c r="BM21" s="47">
        <f>VLOOKUP($A$21&amp;"_"&amp;BM$41,bassins_diff_tri!$B:$H,BM$40,0)</f>
        <v>271.31191300656883</v>
      </c>
      <c r="BN21" s="47">
        <f>VLOOKUP($A$21&amp;"_"&amp;BN$41,bassins_diff_tri!$B:$H,BN$40,0)</f>
        <v>202.63383210335684</v>
      </c>
      <c r="BO21" s="47">
        <f>VLOOKUP($A$21&amp;"_"&amp;BO$41,bassins_diff_tri!$B:$H,BO$40,0)</f>
        <v>5.1308519174566349</v>
      </c>
      <c r="BP21" s="47"/>
      <c r="BQ21" s="138">
        <v>123.58929376767301</v>
      </c>
      <c r="BR21" s="138">
        <v>751.67560090114216</v>
      </c>
      <c r="BS21" s="138">
        <v>1321.7343452606983</v>
      </c>
      <c r="BT21" s="138">
        <v>2221.0093225841338</v>
      </c>
      <c r="BU21" s="138">
        <v>7268.0052598599605</v>
      </c>
      <c r="BV21" s="138">
        <v>710.38941029899308</v>
      </c>
      <c r="BW21" s="138">
        <v>1575.6848206102159</v>
      </c>
      <c r="BX21" s="138">
        <v>310.74187424051058</v>
      </c>
      <c r="BY21" s="138">
        <v>205.52397466125305</v>
      </c>
      <c r="BZ21" s="138">
        <v>212.07676383987169</v>
      </c>
      <c r="CA21" s="138">
        <v>1423.8268332147366</v>
      </c>
      <c r="CB21" s="138">
        <v>817.18461391355379</v>
      </c>
      <c r="CC21" s="138">
        <v>1210.6296741202157</v>
      </c>
      <c r="CD21" s="138">
        <v>801.94729496060984</v>
      </c>
      <c r="CE21" s="140">
        <f t="shared" si="7"/>
        <v>11686.013822373607</v>
      </c>
      <c r="CF21" s="33">
        <v>1787.3495331703075</v>
      </c>
      <c r="CG21" s="33">
        <v>1565.5689324150949</v>
      </c>
      <c r="CH21" s="33">
        <v>989.25058968291023</v>
      </c>
      <c r="CI21" s="33">
        <v>1785.6320323382402</v>
      </c>
      <c r="CJ21" s="33">
        <v>1798.6385020627772</v>
      </c>
      <c r="CK21" s="33">
        <v>1379.3534079241922</v>
      </c>
      <c r="CL21" s="33">
        <v>1363.3283718264106</v>
      </c>
      <c r="CM21" s="33">
        <v>1016.8924529536747</v>
      </c>
      <c r="CN21" s="34">
        <f t="shared" si="14"/>
        <v>11686.013822373607</v>
      </c>
      <c r="CO21" s="141" t="s">
        <v>128</v>
      </c>
      <c r="CP21" s="141" t="s">
        <v>130</v>
      </c>
      <c r="CQ21" s="141" t="s">
        <v>45</v>
      </c>
      <c r="CR21" s="141" t="s">
        <v>49</v>
      </c>
      <c r="CS21" s="141" t="s">
        <v>43</v>
      </c>
    </row>
    <row r="22" spans="1:97" s="71" customFormat="1" ht="13.5" x14ac:dyDescent="0.2">
      <c r="A22" s="67">
        <v>1118</v>
      </c>
      <c r="B22" s="30" t="s">
        <v>173</v>
      </c>
      <c r="C22" s="118">
        <v>13955.47741924834</v>
      </c>
      <c r="D22" s="118">
        <v>16510.605914158001</v>
      </c>
      <c r="E22" s="121">
        <f t="shared" si="12"/>
        <v>0.18309144274673494</v>
      </c>
      <c r="F22" s="118">
        <v>4608.4881363562354</v>
      </c>
      <c r="G22" s="118">
        <v>7741.0682452939982</v>
      </c>
      <c r="H22" s="121">
        <f t="shared" si="0"/>
        <v>0.6797413850813514</v>
      </c>
      <c r="I22" s="118">
        <v>1730.0104650263916</v>
      </c>
      <c r="J22" s="118">
        <v>2309.1242489290007</v>
      </c>
      <c r="K22" s="121">
        <f t="shared" si="1"/>
        <v>0.3347458270397079</v>
      </c>
      <c r="L22" s="26">
        <v>3954.5353016167601</v>
      </c>
      <c r="M22" s="26">
        <v>4188.4323747074914</v>
      </c>
      <c r="N22" s="27">
        <f t="shared" si="2"/>
        <v>5.9146538152056838E-2</v>
      </c>
      <c r="O22" s="118">
        <v>2657.9399482428312</v>
      </c>
      <c r="P22" s="118">
        <v>2536.4740780846887</v>
      </c>
      <c r="Q22" s="121">
        <f t="shared" si="3"/>
        <v>-4.5699253001725504E-2</v>
      </c>
      <c r="R22" s="131">
        <v>664.89953880846554</v>
      </c>
      <c r="S22" s="131">
        <v>679.18389407228517</v>
      </c>
      <c r="T22" s="121">
        <f t="shared" si="4"/>
        <v>2.1483478977016413E-2</v>
      </c>
      <c r="U22" s="135">
        <f t="shared" si="15"/>
        <v>0.25015596731146306</v>
      </c>
      <c r="V22" s="135">
        <f t="shared" si="13"/>
        <v>0.26776693676488988</v>
      </c>
      <c r="W22" s="27" t="str">
        <f t="shared" si="5"/>
        <v>1,8 pt(s)</v>
      </c>
      <c r="X22" s="26">
        <v>213801.20349410301</v>
      </c>
      <c r="Y22" s="26">
        <v>217960.22396018964</v>
      </c>
      <c r="Z22" s="27">
        <f t="shared" si="6"/>
        <v>1.945274581301093E-2</v>
      </c>
      <c r="AA22" s="47" t="s">
        <v>173</v>
      </c>
      <c r="AB22" s="36" t="str">
        <f>VLOOKUP($A$22&amp;"_"&amp;AB$41,bassins_diff_tri!$B:$H,AB$40,0)</f>
        <v>Ouvriers non qualifiés de l'emballage et manutentionnaires</v>
      </c>
      <c r="AC22" s="47">
        <f>VLOOKUP($A$22&amp;"_"&amp;AC$41,bassins_diff_tri!$B:$H,AC$40,0)</f>
        <v>1087.216058637496</v>
      </c>
      <c r="AD22" s="47">
        <f>VLOOKUP($A$22&amp;"_"&amp;AD$41,bassins_diff_tri!$B:$H,AD$40,0)</f>
        <v>193.70761672064859</v>
      </c>
      <c r="AE22" s="47">
        <f>VLOOKUP($A$22&amp;"_"&amp;AE$41,bassins_diff_tri!$B:$H,AE$40,0)</f>
        <v>239.64859163998818</v>
      </c>
      <c r="AF22" s="36" t="str">
        <f>VLOOKUP($A$22&amp;"_"&amp;AF$41,bassins_diff_tri!$B:$H,AF$40,0)</f>
        <v>Aides-soignants (aides médico-psychologiques, auxiliaires de puériculture, assistants médicaux…)</v>
      </c>
      <c r="AG22" s="47">
        <f>VLOOKUP($A$22&amp;"_"&amp;AG$41,bassins_diff_tri!$B:$H,AG$40,0)</f>
        <v>970.57391387147572</v>
      </c>
      <c r="AH22" s="47">
        <f>VLOOKUP($A$22&amp;"_"&amp;AH$41,bassins_diff_tri!$B:$H,AH$40,0)</f>
        <v>718.8006109557499</v>
      </c>
      <c r="AI22" s="47">
        <f>VLOOKUP($A$22&amp;"_"&amp;AI$41,bassins_diff_tri!$B:$H,AI$40,0)</f>
        <v>170.50359616806017</v>
      </c>
      <c r="AJ22" s="36" t="str">
        <f>VLOOKUP($A$22&amp;"_"&amp;AJ$41,bassins_diff_tri!$B:$H,AJ$40,0)</f>
        <v>Aides, apprentis, employés polyvalents de cuisine (y compris crêpes, pizzas, plonge …)</v>
      </c>
      <c r="AK22" s="47">
        <f>VLOOKUP($A$22&amp;"_"&amp;AK$41,bassins_diff_tri!$B:$H,AK$40,0)</f>
        <v>769.66536808167371</v>
      </c>
      <c r="AL22" s="47">
        <f>VLOOKUP($A$22&amp;"_"&amp;AL$41,bassins_diff_tri!$B:$H,AL$40,0)</f>
        <v>296.89729969110994</v>
      </c>
      <c r="AM22" s="47">
        <f>VLOOKUP($A$22&amp;"_"&amp;AM$41,bassins_diff_tri!$B:$H,AM$40,0)</f>
        <v>119.22645748548692</v>
      </c>
      <c r="AN22" s="36" t="str">
        <f>VLOOKUP($A$22&amp;"_"&amp;AN$41,bassins_diff_tri!$B:$H,AN$40,0)</f>
        <v>Employés de libre-service</v>
      </c>
      <c r="AO22" s="47">
        <f>VLOOKUP($A$22&amp;"_"&amp;AO$41,bassins_diff_tri!$B:$H,AO$40,0)</f>
        <v>746.83287477838405</v>
      </c>
      <c r="AP22" s="47">
        <f>VLOOKUP($A$22&amp;"_"&amp;AP$41,bassins_diff_tri!$B:$H,AP$40,0)</f>
        <v>549.50707183758595</v>
      </c>
      <c r="AQ22" s="47">
        <f>VLOOKUP($A$22&amp;"_"&amp;AQ$41,bassins_diff_tri!$B:$H,AQ$40,0)</f>
        <v>98.984050106752136</v>
      </c>
      <c r="AR22" s="36" t="str">
        <f>VLOOKUP($A$22&amp;"_"&amp;AR$41,bassins_diff_tri!$B:$H,AR$40,0)</f>
        <v>Employés de maison et personnels de ménage</v>
      </c>
      <c r="AS22" s="47">
        <f>VLOOKUP($A$22&amp;"_"&amp;AS$41,bassins_diff_tri!$B:$H,AS$40,0)</f>
        <v>613.58371709474102</v>
      </c>
      <c r="AT22" s="47">
        <f>VLOOKUP($A$22&amp;"_"&amp;AT$41,bassins_diff_tri!$B:$H,AT$40,0)</f>
        <v>579.69210698840072</v>
      </c>
      <c r="AU22" s="47">
        <f>VLOOKUP($A$22&amp;"_"&amp;AU$41,bassins_diff_tri!$B:$H,AU$40,0)</f>
        <v>179.53459493761136</v>
      </c>
      <c r="AV22" s="36" t="str">
        <f>VLOOKUP($A$22&amp;"_"&amp;AV$41,bassins_diff_tri!$B:$H,AV$40,0)</f>
        <v>Agents d'entretien de locaux (y compris ATSEM)</v>
      </c>
      <c r="AW22" s="47">
        <f>VLOOKUP($A$22&amp;"_"&amp;AW$41,bassins_diff_tri!$B:$H,AW$40,0)</f>
        <v>418.80844169843647</v>
      </c>
      <c r="AX22" s="47">
        <f>VLOOKUP($A$22&amp;"_"&amp;AX$41,bassins_diff_tri!$B:$H,AX$40,0)</f>
        <v>21.175453988868277</v>
      </c>
      <c r="AY22" s="47">
        <f>VLOOKUP($A$22&amp;"_"&amp;AY$41,bassins_diff_tri!$B:$H,AY$40,0)</f>
        <v>47.171143731725181</v>
      </c>
      <c r="AZ22" s="36" t="str">
        <f>VLOOKUP($A$22&amp;"_"&amp;AZ$41,bassins_diff_tri!$B:$H,AZ$40,0)</f>
        <v>Agents de services hospitaliers</v>
      </c>
      <c r="BA22" s="47">
        <f>VLOOKUP($A$22&amp;"_"&amp;BA$41,bassins_diff_tri!$B:$H,BA$40,0)</f>
        <v>411.24445332243431</v>
      </c>
      <c r="BB22" s="47">
        <f>VLOOKUP($A$22&amp;"_"&amp;BB$41,bassins_diff_tri!$B:$H,BB$40,0)</f>
        <v>15.874950637222591</v>
      </c>
      <c r="BC22" s="47">
        <f>VLOOKUP($A$22&amp;"_"&amp;BC$41,bassins_diff_tri!$B:$H,BC$40,0)</f>
        <v>14.33727166669467</v>
      </c>
      <c r="BD22" s="36" t="str">
        <f>VLOOKUP($A$22&amp;"_"&amp;BD$41,bassins_diff_tri!$B:$H,BD$40,0)</f>
        <v>Conducteurs et livreurs sur courte distance</v>
      </c>
      <c r="BE22" s="47">
        <f>VLOOKUP($A$22&amp;"_"&amp;BE$41,bassins_diff_tri!$B:$H,BE$40,0)</f>
        <v>400.58209559241635</v>
      </c>
      <c r="BF22" s="47">
        <f>VLOOKUP($A$22&amp;"_"&amp;BF$41,bassins_diff_tri!$B:$H,BF$40,0)</f>
        <v>173.40138606218079</v>
      </c>
      <c r="BG22" s="47">
        <f>VLOOKUP($A$22&amp;"_"&amp;BG$41,bassins_diff_tri!$B:$H,BG$40,0)</f>
        <v>9.6051779880834331</v>
      </c>
      <c r="BH22" s="36" t="str">
        <f>VLOOKUP($A$22&amp;"_"&amp;BH$41,bassins_diff_tri!$B:$H,BH$40,0)</f>
        <v>Infirmiers, cadres infirmiers et puéricultrices</v>
      </c>
      <c r="BI22" s="47">
        <f>VLOOKUP($A$22&amp;"_"&amp;BI$41,bassins_diff_tri!$B:$H,BI$40,0)</f>
        <v>384.1956954525034</v>
      </c>
      <c r="BJ22" s="47">
        <f>VLOOKUP($A$22&amp;"_"&amp;BJ$41,bassins_diff_tri!$B:$H,BJ$40,0)</f>
        <v>53.416694640913128</v>
      </c>
      <c r="BK22" s="47">
        <f>VLOOKUP($A$22&amp;"_"&amp;BK$41,bassins_diff_tri!$B:$H,BK$40,0)</f>
        <v>14.615065425580127</v>
      </c>
      <c r="BL22" s="36" t="str">
        <f>VLOOKUP($A$22&amp;"_"&amp;BL$41,bassins_diff_tri!$B:$H,BL$40,0)</f>
        <v>Commerciaux (techniciens commerciaux en entreprise)</v>
      </c>
      <c r="BM22" s="47">
        <f>VLOOKUP($A$22&amp;"_"&amp;BM$41,bassins_diff_tri!$B:$H,BM$40,0)</f>
        <v>364.93656954952996</v>
      </c>
      <c r="BN22" s="47">
        <f>VLOOKUP($A$22&amp;"_"&amp;BN$41,bassins_diff_tri!$B:$H,BN$40,0)</f>
        <v>293.36441145292196</v>
      </c>
      <c r="BO22" s="47">
        <f>VLOOKUP($A$22&amp;"_"&amp;BO$41,bassins_diff_tri!$B:$H,BO$40,0)</f>
        <v>0</v>
      </c>
      <c r="BP22" s="47"/>
      <c r="BQ22" s="138">
        <v>190.22682378807951</v>
      </c>
      <c r="BR22" s="138">
        <v>638.95232726226368</v>
      </c>
      <c r="BS22" s="138">
        <v>1390.0081291067065</v>
      </c>
      <c r="BT22" s="138">
        <v>2934.002357541247</v>
      </c>
      <c r="BU22" s="138">
        <v>11357.416276467691</v>
      </c>
      <c r="BV22" s="138">
        <v>2034.9808922850134</v>
      </c>
      <c r="BW22" s="138">
        <v>1469.6994783757484</v>
      </c>
      <c r="BX22" s="138">
        <v>169.17258742471398</v>
      </c>
      <c r="BY22" s="138">
        <v>471.87281238157652</v>
      </c>
      <c r="BZ22" s="138">
        <v>264.17937949900295</v>
      </c>
      <c r="CA22" s="138">
        <v>2509.0002651076811</v>
      </c>
      <c r="CB22" s="138">
        <v>1212.8605605807263</v>
      </c>
      <c r="CC22" s="138">
        <v>2266.1524684484611</v>
      </c>
      <c r="CD22" s="138">
        <v>959.49783236476833</v>
      </c>
      <c r="CE22" s="140">
        <f t="shared" si="7"/>
        <v>16510.605914165986</v>
      </c>
      <c r="CF22" s="33">
        <v>1905.5735943140771</v>
      </c>
      <c r="CG22" s="33">
        <v>1535.9031607631912</v>
      </c>
      <c r="CH22" s="33">
        <v>1420.0083094935292</v>
      </c>
      <c r="CI22" s="33">
        <v>1804.5013326327617</v>
      </c>
      <c r="CJ22" s="33">
        <v>2469.8621748410378</v>
      </c>
      <c r="CK22" s="33">
        <v>2645.4723870015628</v>
      </c>
      <c r="CL22" s="33">
        <v>1862.7685857872186</v>
      </c>
      <c r="CM22" s="33">
        <v>2866.5163693326122</v>
      </c>
      <c r="CN22" s="34">
        <f t="shared" si="14"/>
        <v>16510.60591416599</v>
      </c>
      <c r="CO22" s="141" t="s">
        <v>49</v>
      </c>
      <c r="CP22" s="141" t="s">
        <v>132</v>
      </c>
      <c r="CQ22" s="141" t="s">
        <v>128</v>
      </c>
      <c r="CR22" s="141" t="s">
        <v>55</v>
      </c>
      <c r="CS22" s="141" t="s">
        <v>54</v>
      </c>
    </row>
    <row r="23" spans="1:97" s="71" customFormat="1" ht="13.5" x14ac:dyDescent="0.2">
      <c r="A23" s="68">
        <v>1119</v>
      </c>
      <c r="B23" s="15" t="s">
        <v>174</v>
      </c>
      <c r="C23" s="118">
        <v>14099.557960526519</v>
      </c>
      <c r="D23" s="118">
        <v>16968.247754769</v>
      </c>
      <c r="E23" s="121">
        <f t="shared" si="12"/>
        <v>0.20345955541824345</v>
      </c>
      <c r="F23" s="118">
        <v>4906.9682138393973</v>
      </c>
      <c r="G23" s="118">
        <v>6884.8578342740011</v>
      </c>
      <c r="H23" s="121">
        <f t="shared" si="0"/>
        <v>0.40307773236766664</v>
      </c>
      <c r="I23" s="118">
        <v>2655.8024412220511</v>
      </c>
      <c r="J23" s="118">
        <v>2107.0392772079999</v>
      </c>
      <c r="K23" s="121">
        <f t="shared" si="1"/>
        <v>-0.20662800647232671</v>
      </c>
      <c r="L23" s="26">
        <v>3227.6026480138398</v>
      </c>
      <c r="M23" s="26">
        <v>4066.7044303849507</v>
      </c>
      <c r="N23" s="27">
        <f t="shared" si="2"/>
        <v>0.25997679202781243</v>
      </c>
      <c r="O23" s="118">
        <v>2676.5795754159667</v>
      </c>
      <c r="P23" s="118">
        <v>2884.1867193792141</v>
      </c>
      <c r="Q23" s="121">
        <f t="shared" si="3"/>
        <v>7.756434588012695E-2</v>
      </c>
      <c r="R23" s="131">
        <v>508.18960865877705</v>
      </c>
      <c r="S23" s="131">
        <v>700.21183293663194</v>
      </c>
      <c r="T23" s="121">
        <f t="shared" si="4"/>
        <v>0.37785547167059019</v>
      </c>
      <c r="U23" s="135">
        <f t="shared" si="15"/>
        <v>0.18986530919029351</v>
      </c>
      <c r="V23" s="135">
        <f t="shared" si="13"/>
        <v>0.24277617958359643</v>
      </c>
      <c r="W23" s="27" t="str">
        <f t="shared" si="5"/>
        <v>5,3 pt(s)</v>
      </c>
      <c r="X23" s="26">
        <v>307850.13222518697</v>
      </c>
      <c r="Y23" s="26">
        <v>265574.47688359505</v>
      </c>
      <c r="Z23" s="27">
        <f t="shared" si="6"/>
        <v>-0.13732544155825799</v>
      </c>
      <c r="AA23" s="47" t="s">
        <v>174</v>
      </c>
      <c r="AB23" s="36" t="str">
        <f>VLOOKUP($A$23&amp;"_"&amp;AB$41,bassins_diff_tri!$B:$H,AB$40,0)</f>
        <v>Ouvriers non qualifiés de l'emballage et manutentionnaires</v>
      </c>
      <c r="AC23" s="47">
        <f>VLOOKUP($A$23&amp;"_"&amp;AC$41,bassins_diff_tri!$B:$H,AC$40,0)</f>
        <v>892.56571384205643</v>
      </c>
      <c r="AD23" s="47">
        <f>VLOOKUP($A$23&amp;"_"&amp;AD$41,bassins_diff_tri!$B:$H,AD$40,0)</f>
        <v>157.16398482058847</v>
      </c>
      <c r="AE23" s="47">
        <f>VLOOKUP($A$23&amp;"_"&amp;AE$41,bassins_diff_tri!$B:$H,AE$40,0)</f>
        <v>157.33262179717843</v>
      </c>
      <c r="AF23" s="36" t="str">
        <f>VLOOKUP($A$23&amp;"_"&amp;AF$41,bassins_diff_tri!$B:$H,AF$40,0)</f>
        <v>Agents d'entretien de locaux (y compris ATSEM)</v>
      </c>
      <c r="AG23" s="47">
        <f>VLOOKUP($A$23&amp;"_"&amp;AG$41,bassins_diff_tri!$B:$H,AG$40,0)</f>
        <v>836.02417576990661</v>
      </c>
      <c r="AH23" s="47">
        <f>VLOOKUP($A$23&amp;"_"&amp;AH$41,bassins_diff_tri!$B:$H,AH$40,0)</f>
        <v>51.268284014371943</v>
      </c>
      <c r="AI23" s="47">
        <f>VLOOKUP($A$23&amp;"_"&amp;AI$41,bassins_diff_tri!$B:$H,AI$40,0)</f>
        <v>81.072417412237527</v>
      </c>
      <c r="AJ23" s="36" t="str">
        <f>VLOOKUP($A$23&amp;"_"&amp;AJ$41,bassins_diff_tri!$B:$H,AJ$40,0)</f>
        <v>Agents des services commerciaux des transports de voyageurs et du tourisme</v>
      </c>
      <c r="AK23" s="47">
        <f>VLOOKUP($A$23&amp;"_"&amp;AK$41,bassins_diff_tri!$B:$H,AK$40,0)</f>
        <v>742.90838975791974</v>
      </c>
      <c r="AL23" s="47">
        <f>VLOOKUP($A$23&amp;"_"&amp;AL$41,bassins_diff_tri!$B:$H,AL$40,0)</f>
        <v>660.54218813524392</v>
      </c>
      <c r="AM23" s="47">
        <f>VLOOKUP($A$23&amp;"_"&amp;AM$41,bassins_diff_tri!$B:$H,AM$40,0)</f>
        <v>61.029700630323049</v>
      </c>
      <c r="AN23" s="36" t="str">
        <f>VLOOKUP($A$23&amp;"_"&amp;AN$41,bassins_diff_tri!$B:$H,AN$40,0)</f>
        <v>Agents de sécurité et de surveillance, enquêteurs privés et métiers assimilés</v>
      </c>
      <c r="AO23" s="47">
        <f>VLOOKUP($A$23&amp;"_"&amp;AO$41,bassins_diff_tri!$B:$H,AO$40,0)</f>
        <v>721.92188179638163</v>
      </c>
      <c r="AP23" s="47">
        <f>VLOOKUP($A$23&amp;"_"&amp;AP$41,bassins_diff_tri!$B:$H,AP$40,0)</f>
        <v>323.69007775051642</v>
      </c>
      <c r="AQ23" s="47">
        <f>VLOOKUP($A$23&amp;"_"&amp;AQ$41,bassins_diff_tri!$B:$H,AQ$40,0)</f>
        <v>139.83339743528646</v>
      </c>
      <c r="AR23" s="36" t="str">
        <f>VLOOKUP($A$23&amp;"_"&amp;AR$41,bassins_diff_tri!$B:$H,AR$40,0)</f>
        <v>Agents d'accueil et d'information, standardistes</v>
      </c>
      <c r="AS23" s="47">
        <f>VLOOKUP($A$23&amp;"_"&amp;AS$41,bassins_diff_tri!$B:$H,AS$40,0)</f>
        <v>599.05972418377905</v>
      </c>
      <c r="AT23" s="47">
        <f>VLOOKUP($A$23&amp;"_"&amp;AT$41,bassins_diff_tri!$B:$H,AT$40,0)</f>
        <v>529.43518874640483</v>
      </c>
      <c r="AU23" s="47">
        <f>VLOOKUP($A$23&amp;"_"&amp;AU$41,bassins_diff_tri!$B:$H,AU$40,0)</f>
        <v>28.137405592152</v>
      </c>
      <c r="AV23" s="36" t="str">
        <f>VLOOKUP($A$23&amp;"_"&amp;AV$41,bassins_diff_tri!$B:$H,AV$40,0)</f>
        <v>Aides-soignants (aides médico-psychologiques, auxiliaires de puériculture, assistants médicaux…)</v>
      </c>
      <c r="AW23" s="47">
        <f>VLOOKUP($A$23&amp;"_"&amp;AW$41,bassins_diff_tri!$B:$H,AW$40,0)</f>
        <v>521.85637348167324</v>
      </c>
      <c r="AX23" s="47">
        <f>VLOOKUP($A$23&amp;"_"&amp;AX$41,bassins_diff_tri!$B:$H,AX$40,0)</f>
        <v>103.17283190791265</v>
      </c>
      <c r="AY23" s="47">
        <f>VLOOKUP($A$23&amp;"_"&amp;AY$41,bassins_diff_tri!$B:$H,AY$40,0)</f>
        <v>28.306721948219717</v>
      </c>
      <c r="AZ23" s="36" t="str">
        <f>VLOOKUP($A$23&amp;"_"&amp;AZ$41,bassins_diff_tri!$B:$H,AZ$40,0)</f>
        <v>Aides, apprentis, employés polyvalents de cuisine (y compris crêpes, pizzas, plonge …)</v>
      </c>
      <c r="BA23" s="47">
        <f>VLOOKUP($A$23&amp;"_"&amp;BA$41,bassins_diff_tri!$B:$H,BA$40,0)</f>
        <v>515.50723807203167</v>
      </c>
      <c r="BB23" s="47">
        <f>VLOOKUP($A$23&amp;"_"&amp;BB$41,bassins_diff_tri!$B:$H,BB$40,0)</f>
        <v>35.787622419761909</v>
      </c>
      <c r="BC23" s="47">
        <f>VLOOKUP($A$23&amp;"_"&amp;BC$41,bassins_diff_tri!$B:$H,BC$40,0)</f>
        <v>60.004274507599696</v>
      </c>
      <c r="BD23" s="36" t="str">
        <f>VLOOKUP($A$23&amp;"_"&amp;BD$41,bassins_diff_tri!$B:$H,BD$40,0)</f>
        <v>Conducteurs et livreurs sur courte distance</v>
      </c>
      <c r="BE23" s="47">
        <f>VLOOKUP($A$23&amp;"_"&amp;BE$41,bassins_diff_tri!$B:$H,BE$40,0)</f>
        <v>479.43921953303447</v>
      </c>
      <c r="BF23" s="47">
        <f>VLOOKUP($A$23&amp;"_"&amp;BF$41,bassins_diff_tri!$B:$H,BF$40,0)</f>
        <v>151.06252038099427</v>
      </c>
      <c r="BG23" s="47">
        <f>VLOOKUP($A$23&amp;"_"&amp;BG$41,bassins_diff_tri!$B:$H,BG$40,0)</f>
        <v>50.443185952462372</v>
      </c>
      <c r="BH23" s="36" t="str">
        <f>VLOOKUP($A$23&amp;"_"&amp;BH$41,bassins_diff_tri!$B:$H,BH$40,0)</f>
        <v>Conducteurs routiers et grands routiers</v>
      </c>
      <c r="BI23" s="47">
        <f>VLOOKUP($A$23&amp;"_"&amp;BI$41,bassins_diff_tri!$B:$H,BI$40,0)</f>
        <v>410.99773024161323</v>
      </c>
      <c r="BJ23" s="47">
        <f>VLOOKUP($A$23&amp;"_"&amp;BJ$41,bassins_diff_tri!$B:$H,BJ$40,0)</f>
        <v>270.71990555732344</v>
      </c>
      <c r="BK23" s="47">
        <f>VLOOKUP($A$23&amp;"_"&amp;BK$41,bassins_diff_tri!$B:$H,BK$40,0)</f>
        <v>16.074729695793124</v>
      </c>
      <c r="BL23" s="36" t="str">
        <f>VLOOKUP($A$23&amp;"_"&amp;BL$41,bassins_diff_tri!$B:$H,BL$40,0)</f>
        <v>Professionnels de l'animation socioculturelle (animateurs et directeurs)</v>
      </c>
      <c r="BM23" s="47">
        <f>VLOOKUP($A$23&amp;"_"&amp;BM$41,bassins_diff_tri!$B:$H,BM$40,0)</f>
        <v>391.93693489006188</v>
      </c>
      <c r="BN23" s="47">
        <f>VLOOKUP($A$23&amp;"_"&amp;BN$41,bassins_diff_tri!$B:$H,BN$40,0)</f>
        <v>98.250816576339474</v>
      </c>
      <c r="BO23" s="47">
        <f>VLOOKUP($A$23&amp;"_"&amp;BO$41,bassins_diff_tri!$B:$H,BO$40,0)</f>
        <v>198.08797045207271</v>
      </c>
      <c r="BP23" s="47"/>
      <c r="BQ23" s="138">
        <v>120.24584441800894</v>
      </c>
      <c r="BR23" s="138">
        <v>561.22823495636521</v>
      </c>
      <c r="BS23" s="138">
        <v>2015.7521453616428</v>
      </c>
      <c r="BT23" s="138">
        <v>2174.9451057802348</v>
      </c>
      <c r="BU23" s="138">
        <v>12096.076424249361</v>
      </c>
      <c r="BV23" s="138">
        <v>4311.592040650261</v>
      </c>
      <c r="BW23" s="138">
        <v>1550.7604078389859</v>
      </c>
      <c r="BX23" s="138">
        <v>422.8574570032406</v>
      </c>
      <c r="BY23" s="138">
        <v>226.08914043778583</v>
      </c>
      <c r="BZ23" s="138">
        <v>132.63221686257646</v>
      </c>
      <c r="CA23" s="138">
        <v>2552.0818467667277</v>
      </c>
      <c r="CB23" s="138">
        <v>1002.1217926359815</v>
      </c>
      <c r="CC23" s="138">
        <v>1281.8043286530633</v>
      </c>
      <c r="CD23" s="138">
        <v>616.13719340073715</v>
      </c>
      <c r="CE23" s="140">
        <f t="shared" si="7"/>
        <v>16968.247754765613</v>
      </c>
      <c r="CF23" s="33">
        <v>2694.4715105758428</v>
      </c>
      <c r="CG23" s="33">
        <v>1799.2971389788756</v>
      </c>
      <c r="CH23" s="33">
        <v>1551.1247870177758</v>
      </c>
      <c r="CI23" s="33">
        <v>1766.9244952127592</v>
      </c>
      <c r="CJ23" s="33">
        <v>2484.3998827999235</v>
      </c>
      <c r="CK23" s="33">
        <v>1789.9485929665843</v>
      </c>
      <c r="CL23" s="33">
        <v>1651.4111634549672</v>
      </c>
      <c r="CM23" s="33">
        <v>3230.6701837588889</v>
      </c>
      <c r="CN23" s="34">
        <f t="shared" si="14"/>
        <v>16968.247754765616</v>
      </c>
      <c r="CO23" s="141" t="s">
        <v>49</v>
      </c>
      <c r="CP23" s="141" t="s">
        <v>43</v>
      </c>
      <c r="CQ23" s="141" t="s">
        <v>228</v>
      </c>
      <c r="CR23" s="141" t="s">
        <v>44</v>
      </c>
      <c r="CS23" s="141" t="s">
        <v>52</v>
      </c>
    </row>
    <row r="24" spans="1:97" s="71" customFormat="1" ht="13.5" x14ac:dyDescent="0.2">
      <c r="A24" s="68">
        <v>1124</v>
      </c>
      <c r="B24" s="15" t="s">
        <v>175</v>
      </c>
      <c r="C24" s="118">
        <v>2845.7085569342617</v>
      </c>
      <c r="D24" s="118">
        <v>3398.2221395860006</v>
      </c>
      <c r="E24" s="121">
        <f t="shared" si="12"/>
        <v>0.19415677030783951</v>
      </c>
      <c r="F24" s="118">
        <v>1544.7781855281378</v>
      </c>
      <c r="G24" s="118">
        <v>1845.4209644429998</v>
      </c>
      <c r="H24" s="121">
        <f t="shared" si="0"/>
        <v>0.19461873667776874</v>
      </c>
      <c r="I24" s="118">
        <v>616.51267514702067</v>
      </c>
      <c r="J24" s="118">
        <v>705.90718760999994</v>
      </c>
      <c r="K24" s="121">
        <f t="shared" si="1"/>
        <v>0.14500028315177982</v>
      </c>
      <c r="L24" s="26">
        <v>1042.3144570296399</v>
      </c>
      <c r="M24" s="26">
        <v>1131.481191053836</v>
      </c>
      <c r="N24" s="27">
        <f t="shared" si="2"/>
        <v>8.5546864885958751E-2</v>
      </c>
      <c r="O24" s="118">
        <v>5323.0000001267963</v>
      </c>
      <c r="P24" s="118">
        <v>5348.0000001329954</v>
      </c>
      <c r="Q24" s="121">
        <f t="shared" si="3"/>
        <v>4.6965996628975937E-3</v>
      </c>
      <c r="R24" s="131">
        <v>915.8854625322507</v>
      </c>
      <c r="S24" s="131">
        <v>1123.4255669483709</v>
      </c>
      <c r="T24" s="121">
        <f t="shared" si="4"/>
        <v>0.22660050072452398</v>
      </c>
      <c r="U24" s="135">
        <f t="shared" si="15"/>
        <v>0.17206189414060377</v>
      </c>
      <c r="V24" s="135">
        <f t="shared" si="13"/>
        <v>0.21006461610329719</v>
      </c>
      <c r="W24" s="27" t="str">
        <f t="shared" si="5"/>
        <v>3,8 pt(s)</v>
      </c>
      <c r="X24" s="26">
        <v>45607.154068306299</v>
      </c>
      <c r="Y24" s="26">
        <v>48701.128165552902</v>
      </c>
      <c r="Z24" s="27">
        <f t="shared" si="6"/>
        <v>6.7839665957071693E-2</v>
      </c>
      <c r="AA24" s="47" t="s">
        <v>175</v>
      </c>
      <c r="AB24" s="36" t="str">
        <f>VLOOKUP($A$24&amp;"_"&amp;AB$41,bassins_diff_tri!$B:$H,AB$40,0)</f>
        <v>Aides à domicile, aides ménagères, travailleuses familiales</v>
      </c>
      <c r="AC24" s="47">
        <f>VLOOKUP($A$24&amp;"_"&amp;AC$41,bassins_diff_tri!$B:$H,AC$40,0)</f>
        <v>196.47534377073282</v>
      </c>
      <c r="AD24" s="47">
        <f>VLOOKUP($A$24&amp;"_"&amp;AD$41,bassins_diff_tri!$B:$H,AD$40,0)</f>
        <v>170.65543636323599</v>
      </c>
      <c r="AE24" s="47">
        <f>VLOOKUP($A$24&amp;"_"&amp;AE$41,bassins_diff_tri!$B:$H,AE$40,0)</f>
        <v>8</v>
      </c>
      <c r="AF24" s="36" t="str">
        <f>VLOOKUP($A$24&amp;"_"&amp;AF$41,bassins_diff_tri!$B:$H,AF$40,0)</f>
        <v>Conducteurs de transport en commun sur route</v>
      </c>
      <c r="AG24" s="47">
        <f>VLOOKUP($A$24&amp;"_"&amp;AG$41,bassins_diff_tri!$B:$H,AG$40,0)</f>
        <v>168.27111623461715</v>
      </c>
      <c r="AH24" s="47">
        <f>VLOOKUP($A$24&amp;"_"&amp;AH$41,bassins_diff_tri!$B:$H,AH$40,0)</f>
        <v>76.840745853240605</v>
      </c>
      <c r="AI24" s="47">
        <f>VLOOKUP($A$24&amp;"_"&amp;AI$41,bassins_diff_tri!$B:$H,AI$40,0)</f>
        <v>108.88135968258675</v>
      </c>
      <c r="AJ24" s="36" t="str">
        <f>VLOOKUP($A$24&amp;"_"&amp;AJ$41,bassins_diff_tri!$B:$H,AJ$40,0)</f>
        <v>Aides-soignants (aides médico-psychologiques, auxiliaires de puériculture, assistants médicaux…)</v>
      </c>
      <c r="AK24" s="47">
        <f>VLOOKUP($A$24&amp;"_"&amp;AK$41,bassins_diff_tri!$B:$H,AK$40,0)</f>
        <v>156.43241365438467</v>
      </c>
      <c r="AL24" s="47">
        <f>VLOOKUP($A$24&amp;"_"&amp;AL$41,bassins_diff_tri!$B:$H,AL$40,0)</f>
        <v>104.22860971263363</v>
      </c>
      <c r="AM24" s="47">
        <f>VLOOKUP($A$24&amp;"_"&amp;AM$41,bassins_diff_tri!$B:$H,AM$40,0)</f>
        <v>0</v>
      </c>
      <c r="AN24" s="36" t="str">
        <f>VLOOKUP($A$24&amp;"_"&amp;AN$41,bassins_diff_tri!$B:$H,AN$40,0)</f>
        <v>Aides, apprentis, employés polyvalents de cuisine (y compris crêpes, pizzas, plonge …)</v>
      </c>
      <c r="AO24" s="47">
        <f>VLOOKUP($A$24&amp;"_"&amp;AO$41,bassins_diff_tri!$B:$H,AO$40,0)</f>
        <v>143.04626274149206</v>
      </c>
      <c r="AP24" s="47">
        <f>VLOOKUP($A$24&amp;"_"&amp;AP$41,bassins_diff_tri!$B:$H,AP$40,0)</f>
        <v>115.67681536952863</v>
      </c>
      <c r="AQ24" s="47">
        <f>VLOOKUP($A$24&amp;"_"&amp;AQ$41,bassins_diff_tri!$B:$H,AQ$40,0)</f>
        <v>15</v>
      </c>
      <c r="AR24" s="36" t="str">
        <f>VLOOKUP($A$24&amp;"_"&amp;AR$41,bassins_diff_tri!$B:$H,AR$40,0)</f>
        <v>Employés de libre-service</v>
      </c>
      <c r="AS24" s="47">
        <f>VLOOKUP($A$24&amp;"_"&amp;AS$41,bassins_diff_tri!$B:$H,AS$40,0)</f>
        <v>136.16044898674369</v>
      </c>
      <c r="AT24" s="47">
        <f>VLOOKUP($A$24&amp;"_"&amp;AT$41,bassins_diff_tri!$B:$H,AT$40,0)</f>
        <v>5.0908853395973903</v>
      </c>
      <c r="AU24" s="47">
        <f>VLOOKUP($A$24&amp;"_"&amp;AU$41,bassins_diff_tri!$B:$H,AU$40,0)</f>
        <v>19.453350459642184</v>
      </c>
      <c r="AV24" s="36" t="str">
        <f>VLOOKUP($A$24&amp;"_"&amp;AV$41,bassins_diff_tri!$B:$H,AV$40,0)</f>
        <v>Agents d'entretien de locaux (y compris ATSEM)</v>
      </c>
      <c r="AW24" s="47">
        <f>VLOOKUP($A$24&amp;"_"&amp;AW$41,bassins_diff_tri!$B:$H,AW$40,0)</f>
        <v>114.01257406996146</v>
      </c>
      <c r="AX24" s="47">
        <f>VLOOKUP($A$24&amp;"_"&amp;AX$41,bassins_diff_tri!$B:$H,AX$40,0)</f>
        <v>14.116784888423084</v>
      </c>
      <c r="AY24" s="47">
        <f>VLOOKUP($A$24&amp;"_"&amp;AY$41,bassins_diff_tri!$B:$H,AY$40,0)</f>
        <v>59.458734468728316</v>
      </c>
      <c r="AZ24" s="36" t="str">
        <f>VLOOKUP($A$24&amp;"_"&amp;AZ$41,bassins_diff_tri!$B:$H,AZ$40,0)</f>
        <v>Ouvriers de l'assainissement et du traitement des déchets</v>
      </c>
      <c r="BA24" s="47">
        <f>VLOOKUP($A$24&amp;"_"&amp;BA$41,bassins_diff_tri!$B:$H,BA$40,0)</f>
        <v>113.46554596334971</v>
      </c>
      <c r="BB24" s="47">
        <f>VLOOKUP($A$24&amp;"_"&amp;BB$41,bassins_diff_tri!$B:$H,BB$40,0)</f>
        <v>110.81512888466223</v>
      </c>
      <c r="BC24" s="47">
        <f>VLOOKUP($A$24&amp;"_"&amp;BC$41,bassins_diff_tri!$B:$H,BC$40,0)</f>
        <v>2.6504170786874801</v>
      </c>
      <c r="BD24" s="36" t="str">
        <f>VLOOKUP($A$24&amp;"_"&amp;BD$41,bassins_diff_tri!$B:$H,BD$40,0)</f>
        <v>Techniciens et agents de maîtrise de la maintenance et de l'environnement</v>
      </c>
      <c r="BE24" s="47">
        <f>VLOOKUP($A$24&amp;"_"&amp;BE$41,bassins_diff_tri!$B:$H,BE$40,0)</f>
        <v>75.966356241171681</v>
      </c>
      <c r="BF24" s="47">
        <f>VLOOKUP($A$24&amp;"_"&amp;BF$41,bassins_diff_tri!$B:$H,BF$40,0)</f>
        <v>4.6689122096099034</v>
      </c>
      <c r="BG24" s="47">
        <f>VLOOKUP($A$24&amp;"_"&amp;BG$41,bassins_diff_tri!$B:$H,BG$40,0)</f>
        <v>0</v>
      </c>
      <c r="BH24" s="36" t="str">
        <f>VLOOKUP($A$24&amp;"_"&amp;BH$41,bassins_diff_tri!$B:$H,BH$40,0)</f>
        <v>Ouvriers non qualifiés du second œuvre du bâtiment</v>
      </c>
      <c r="BI24" s="47">
        <f>VLOOKUP($A$24&amp;"_"&amp;BI$41,bassins_diff_tri!$B:$H,BI$40,0)</f>
        <v>74.59580311339792</v>
      </c>
      <c r="BJ24" s="47">
        <f>VLOOKUP($A$24&amp;"_"&amp;BJ$41,bassins_diff_tri!$B:$H,BJ$40,0)</f>
        <v>38.635318826353256</v>
      </c>
      <c r="BK24" s="47">
        <f>VLOOKUP($A$24&amp;"_"&amp;BK$41,bassins_diff_tri!$B:$H,BK$40,0)</f>
        <v>0</v>
      </c>
      <c r="BL24" s="36" t="str">
        <f>VLOOKUP($A$24&amp;"_"&amp;BL$41,bassins_diff_tri!$B:$H,BL$40,0)</f>
        <v>Vendeurs en habillement, accessoires et articles de luxe, sport, loisirs et culture</v>
      </c>
      <c r="BM24" s="47">
        <f>VLOOKUP($A$24&amp;"_"&amp;BM$41,bassins_diff_tri!$B:$H,BM$40,0)</f>
        <v>71.041408324728224</v>
      </c>
      <c r="BN24" s="47">
        <f>VLOOKUP($A$24&amp;"_"&amp;BN$41,bassins_diff_tri!$B:$H,BN$40,0)</f>
        <v>33.573206811544644</v>
      </c>
      <c r="BO24" s="47">
        <f>VLOOKUP($A$24&amp;"_"&amp;BO$41,bassins_diff_tri!$B:$H,BO$40,0)</f>
        <v>11.191068937181548</v>
      </c>
      <c r="BP24" s="47"/>
      <c r="BQ24" s="138">
        <v>212.98140159255593</v>
      </c>
      <c r="BR24" s="138">
        <v>196.89453642630693</v>
      </c>
      <c r="BS24" s="138">
        <v>378.73742872800779</v>
      </c>
      <c r="BT24" s="138">
        <v>525.60421734149384</v>
      </c>
      <c r="BU24" s="138">
        <v>2084.0045554987464</v>
      </c>
      <c r="BV24" s="138">
        <v>276.09289527630062</v>
      </c>
      <c r="BW24" s="138">
        <v>305.22508003607811</v>
      </c>
      <c r="BX24" s="138">
        <v>61.361979062903643</v>
      </c>
      <c r="BY24" s="138">
        <v>56.55289861254893</v>
      </c>
      <c r="BZ24" s="138">
        <v>101.81333300455196</v>
      </c>
      <c r="CA24" s="138">
        <v>442.18727325051623</v>
      </c>
      <c r="CB24" s="138">
        <v>139.16181326042576</v>
      </c>
      <c r="CC24" s="138">
        <v>502.4965011623907</v>
      </c>
      <c r="CD24" s="138">
        <v>199.11278183303068</v>
      </c>
      <c r="CE24" s="140">
        <f t="shared" si="7"/>
        <v>3398.2221395871111</v>
      </c>
      <c r="CF24" s="33">
        <v>582.90785812983847</v>
      </c>
      <c r="CG24" s="33">
        <v>575.88556412296566</v>
      </c>
      <c r="CH24" s="33">
        <v>418.46534056336844</v>
      </c>
      <c r="CI24" s="33">
        <v>311.25818392138206</v>
      </c>
      <c r="CJ24" s="33">
        <v>471.52160472185761</v>
      </c>
      <c r="CK24" s="33">
        <v>591.17879234761676</v>
      </c>
      <c r="CL24" s="33">
        <v>102.97858871239609</v>
      </c>
      <c r="CM24" s="33">
        <v>344.02620706768585</v>
      </c>
      <c r="CN24" s="34">
        <f t="shared" si="14"/>
        <v>3398.2221395871115</v>
      </c>
      <c r="CO24" s="141" t="s">
        <v>130</v>
      </c>
      <c r="CP24" s="141" t="s">
        <v>191</v>
      </c>
      <c r="CQ24" s="141" t="s">
        <v>132</v>
      </c>
      <c r="CR24" s="141" t="s">
        <v>128</v>
      </c>
      <c r="CS24" s="141" t="s">
        <v>55</v>
      </c>
    </row>
    <row r="25" spans="1:97" s="71" customFormat="1" ht="13.5" x14ac:dyDescent="0.2">
      <c r="A25" s="67">
        <v>1125</v>
      </c>
      <c r="B25" s="30" t="s">
        <v>176</v>
      </c>
      <c r="C25" s="118">
        <v>12680.040611543549</v>
      </c>
      <c r="D25" s="118">
        <v>14613.693426291004</v>
      </c>
      <c r="E25" s="121">
        <f t="shared" si="12"/>
        <v>0.15249579035157912</v>
      </c>
      <c r="F25" s="118">
        <v>5433.825577531672</v>
      </c>
      <c r="G25" s="118">
        <v>7548.8821407780006</v>
      </c>
      <c r="H25" s="121">
        <f t="shared" si="0"/>
        <v>0.38923895017754662</v>
      </c>
      <c r="I25" s="118">
        <v>1511.4445232677579</v>
      </c>
      <c r="J25" s="118">
        <v>2545.1219226659996</v>
      </c>
      <c r="K25" s="121">
        <f t="shared" si="1"/>
        <v>0.68390032415044977</v>
      </c>
      <c r="L25" s="26">
        <v>3855.0392046247798</v>
      </c>
      <c r="M25" s="26">
        <v>5024.0509372473743</v>
      </c>
      <c r="N25" s="27">
        <f t="shared" si="2"/>
        <v>0.3032425017157192</v>
      </c>
      <c r="O25" s="118">
        <v>18963.805566354386</v>
      </c>
      <c r="P25" s="118">
        <v>19287.832902876726</v>
      </c>
      <c r="Q25" s="121">
        <f t="shared" si="3"/>
        <v>1.7086619844765227E-2</v>
      </c>
      <c r="R25" s="131">
        <v>3722.746152858294</v>
      </c>
      <c r="S25" s="131">
        <v>4196.3374170989537</v>
      </c>
      <c r="T25" s="121">
        <f t="shared" si="4"/>
        <v>0.12721556743186491</v>
      </c>
      <c r="U25" s="135">
        <f t="shared" si="15"/>
        <v>0.19630796887430635</v>
      </c>
      <c r="V25" s="135">
        <f t="shared" si="13"/>
        <v>0.21756396575133549</v>
      </c>
      <c r="W25" s="27" t="str">
        <f t="shared" si="5"/>
        <v>2,1 pt(s)</v>
      </c>
      <c r="X25" s="26">
        <v>184371.492189882</v>
      </c>
      <c r="Y25" s="26">
        <v>204051.308896225</v>
      </c>
      <c r="Z25" s="27">
        <f t="shared" si="6"/>
        <v>0.10674001968848312</v>
      </c>
      <c r="AA25" s="47" t="s">
        <v>176</v>
      </c>
      <c r="AB25" s="36" t="str">
        <f>VLOOKUP($A$25&amp;"_"&amp;AB$41,bassins_diff_tri!$B:$H,AB$40,0)</f>
        <v>Agents d'entretien de locaux (y compris ATSEM)</v>
      </c>
      <c r="AC25" s="47">
        <f>VLOOKUP($A$25&amp;"_"&amp;AC$41,bassins_diff_tri!$B:$H,AC$40,0)</f>
        <v>854.92015836216456</v>
      </c>
      <c r="AD25" s="47">
        <f>VLOOKUP($A$25&amp;"_"&amp;AD$41,bassins_diff_tri!$B:$H,AD$40,0)</f>
        <v>83.618319813359975</v>
      </c>
      <c r="AE25" s="47">
        <f>VLOOKUP($A$25&amp;"_"&amp;AE$41,bassins_diff_tri!$B:$H,AE$40,0)</f>
        <v>425.2718208652858</v>
      </c>
      <c r="AF25" s="36" t="str">
        <f>VLOOKUP($A$25&amp;"_"&amp;AF$41,bassins_diff_tri!$B:$H,AF$40,0)</f>
        <v>Aides à domicile, aides ménagères, travailleuses familiales</v>
      </c>
      <c r="AG25" s="47">
        <f>VLOOKUP($A$25&amp;"_"&amp;AG$41,bassins_diff_tri!$B:$H,AG$40,0)</f>
        <v>654.01496252528614</v>
      </c>
      <c r="AH25" s="47">
        <f>VLOOKUP($A$25&amp;"_"&amp;AH$41,bassins_diff_tri!$B:$H,AH$40,0)</f>
        <v>524.40922166970836</v>
      </c>
      <c r="AI25" s="47">
        <f>VLOOKUP($A$25&amp;"_"&amp;AI$41,bassins_diff_tri!$B:$H,AI$40,0)</f>
        <v>55.530439557615679</v>
      </c>
      <c r="AJ25" s="36" t="str">
        <f>VLOOKUP($A$25&amp;"_"&amp;AJ$41,bassins_diff_tri!$B:$H,AJ$40,0)</f>
        <v>Agents de sécurité et de surveillance, enquêteurs privés et métiers assimilés</v>
      </c>
      <c r="AK25" s="47">
        <f>VLOOKUP($A$25&amp;"_"&amp;AK$41,bassins_diff_tri!$B:$H,AK$40,0)</f>
        <v>491.9406938001049</v>
      </c>
      <c r="AL25" s="47">
        <f>VLOOKUP($A$25&amp;"_"&amp;AL$41,bassins_diff_tri!$B:$H,AL$40,0)</f>
        <v>305.24014301815851</v>
      </c>
      <c r="AM25" s="47">
        <f>VLOOKUP($A$25&amp;"_"&amp;AM$41,bassins_diff_tri!$B:$H,AM$40,0)</f>
        <v>25.88022031277854</v>
      </c>
      <c r="AN25" s="36" t="str">
        <f>VLOOKUP($A$25&amp;"_"&amp;AN$41,bassins_diff_tri!$B:$H,AN$40,0)</f>
        <v>Aides-soignants (aides médico-psychologiques, auxiliaires de puériculture, assistants médicaux…)</v>
      </c>
      <c r="AO25" s="47">
        <f>VLOOKUP($A$25&amp;"_"&amp;AO$41,bassins_diff_tri!$B:$H,AO$40,0)</f>
        <v>474.70793840364206</v>
      </c>
      <c r="AP25" s="47">
        <f>VLOOKUP($A$25&amp;"_"&amp;AP$41,bassins_diff_tri!$B:$H,AP$40,0)</f>
        <v>205.60880611904841</v>
      </c>
      <c r="AQ25" s="47">
        <f>VLOOKUP($A$25&amp;"_"&amp;AQ$41,bassins_diff_tri!$B:$H,AQ$40,0)</f>
        <v>111.06604621248825</v>
      </c>
      <c r="AR25" s="36" t="str">
        <f>VLOOKUP($A$25&amp;"_"&amp;AR$41,bassins_diff_tri!$B:$H,AR$40,0)</f>
        <v>Professionnels de l'animation socioculturelle (animateurs et directeurs)</v>
      </c>
      <c r="AS25" s="47">
        <f>VLOOKUP($A$25&amp;"_"&amp;AS$41,bassins_diff_tri!$B:$H,AS$40,0)</f>
        <v>462.85552464812503</v>
      </c>
      <c r="AT25" s="47">
        <f>VLOOKUP($A$25&amp;"_"&amp;AT$41,bassins_diff_tri!$B:$H,AT$40,0)</f>
        <v>142.13522456631912</v>
      </c>
      <c r="AU25" s="47">
        <f>VLOOKUP($A$25&amp;"_"&amp;AU$41,bassins_diff_tri!$B:$H,AU$40,0)</f>
        <v>176.47045938697465</v>
      </c>
      <c r="AV25" s="36" t="str">
        <f>VLOOKUP($A$25&amp;"_"&amp;AV$41,bassins_diff_tri!$B:$H,AV$40,0)</f>
        <v>Employés de libre-service</v>
      </c>
      <c r="AW25" s="47">
        <f>VLOOKUP($A$25&amp;"_"&amp;AW$41,bassins_diff_tri!$B:$H,AW$40,0)</f>
        <v>434.85836651826736</v>
      </c>
      <c r="AX25" s="47">
        <f>VLOOKUP($A$25&amp;"_"&amp;AX$41,bassins_diff_tri!$B:$H,AX$40,0)</f>
        <v>101.64398297078671</v>
      </c>
      <c r="AY25" s="47">
        <f>VLOOKUP($A$25&amp;"_"&amp;AY$41,bassins_diff_tri!$B:$H,AY$40,0)</f>
        <v>99.719109769699131</v>
      </c>
      <c r="AZ25" s="36" t="str">
        <f>VLOOKUP($A$25&amp;"_"&amp;AZ$41,bassins_diff_tri!$B:$H,AZ$40,0)</f>
        <v>Ingénieurs et cadres d'études, R et D en informatique, chefs de projets informatiques</v>
      </c>
      <c r="BA25" s="47">
        <f>VLOOKUP($A$25&amp;"_"&amp;BA$41,bassins_diff_tri!$B:$H,BA$40,0)</f>
        <v>382.24825400662462</v>
      </c>
      <c r="BB25" s="47">
        <f>VLOOKUP($A$25&amp;"_"&amp;BB$41,bassins_diff_tri!$B:$H,BB$40,0)</f>
        <v>345.47485218340984</v>
      </c>
      <c r="BC25" s="47">
        <f>VLOOKUP($A$25&amp;"_"&amp;BC$41,bassins_diff_tri!$B:$H,BC$40,0)</f>
        <v>0</v>
      </c>
      <c r="BD25" s="36" t="str">
        <f>VLOOKUP($A$25&amp;"_"&amp;BD$41,bassins_diff_tri!$B:$H,BD$40,0)</f>
        <v>Aides, apprentis, employés polyvalents de cuisine (y compris crêpes, pizzas, plonge …)</v>
      </c>
      <c r="BE25" s="47">
        <f>VLOOKUP($A$25&amp;"_"&amp;BE$41,bassins_diff_tri!$B:$H,BE$40,0)</f>
        <v>352.50604310675192</v>
      </c>
      <c r="BF25" s="47">
        <f>VLOOKUP($A$25&amp;"_"&amp;BF$41,bassins_diff_tri!$B:$H,BF$40,0)</f>
        <v>148.48426548913886</v>
      </c>
      <c r="BG25" s="47">
        <f>VLOOKUP($A$25&amp;"_"&amp;BG$41,bassins_diff_tri!$B:$H,BG$40,0)</f>
        <v>79.43860851780002</v>
      </c>
      <c r="BH25" s="36" t="str">
        <f>VLOOKUP($A$25&amp;"_"&amp;BH$41,bassins_diff_tri!$B:$H,BH$40,0)</f>
        <v>Employés de maison et personnels de ménage</v>
      </c>
      <c r="BI25" s="47">
        <f>VLOOKUP($A$25&amp;"_"&amp;BI$41,bassins_diff_tri!$B:$H,BI$40,0)</f>
        <v>305.93455277644955</v>
      </c>
      <c r="BJ25" s="47">
        <f>VLOOKUP($A$25&amp;"_"&amp;BJ$41,bassins_diff_tri!$B:$H,BJ$40,0)</f>
        <v>243.60962335574766</v>
      </c>
      <c r="BK25" s="47">
        <f>VLOOKUP($A$25&amp;"_"&amp;BK$41,bassins_diff_tri!$B:$H,BK$40,0)</f>
        <v>42.451908326630864</v>
      </c>
      <c r="BL25" s="36" t="str">
        <f>VLOOKUP($A$25&amp;"_"&amp;BL$41,bassins_diff_tri!$B:$H,BL$40,0)</f>
        <v>Ouvriers non qualifiés métallerie, serrurerie, montage (y compris réparateurs)</v>
      </c>
      <c r="BM25" s="47">
        <f>VLOOKUP($A$25&amp;"_"&amp;BM$41,bassins_diff_tri!$B:$H,BM$40,0)</f>
        <v>305.15532533687792</v>
      </c>
      <c r="BN25" s="47">
        <f>VLOOKUP($A$25&amp;"_"&amp;BN$41,bassins_diff_tri!$B:$H,BN$40,0)</f>
        <v>105.2332574697048</v>
      </c>
      <c r="BO25" s="47">
        <f>VLOOKUP($A$25&amp;"_"&amp;BO$41,bassins_diff_tri!$B:$H,BO$40,0)</f>
        <v>35.43997463814793</v>
      </c>
      <c r="BP25" s="47"/>
      <c r="BQ25" s="138">
        <v>376.15351396713197</v>
      </c>
      <c r="BR25" s="138">
        <v>902.92807382030742</v>
      </c>
      <c r="BS25" s="138">
        <v>1188.2456680365935</v>
      </c>
      <c r="BT25" s="138">
        <v>2325.6880227160141</v>
      </c>
      <c r="BU25" s="138">
        <v>9820.6781477559216</v>
      </c>
      <c r="BV25" s="138">
        <v>506.18746992021818</v>
      </c>
      <c r="BW25" s="138">
        <v>944.19432581881551</v>
      </c>
      <c r="BX25" s="138">
        <v>563.96826957812675</v>
      </c>
      <c r="BY25" s="138">
        <v>413.97704972432973</v>
      </c>
      <c r="BZ25" s="138">
        <v>197.84388977772477</v>
      </c>
      <c r="CA25" s="138">
        <v>2871.9739593824074</v>
      </c>
      <c r="CB25" s="138">
        <v>970.41702279704873</v>
      </c>
      <c r="CC25" s="138">
        <v>2313.2700812738153</v>
      </c>
      <c r="CD25" s="138">
        <v>1038.8460794834357</v>
      </c>
      <c r="CE25" s="140">
        <f t="shared" si="7"/>
        <v>14613.693426295969</v>
      </c>
      <c r="CF25" s="33">
        <v>1825.4516277419389</v>
      </c>
      <c r="CG25" s="33">
        <v>2547.6066272175617</v>
      </c>
      <c r="CH25" s="33">
        <v>1458.1804883966415</v>
      </c>
      <c r="CI25" s="33">
        <v>1487.1219965470602</v>
      </c>
      <c r="CJ25" s="33">
        <v>2846.9817810845329</v>
      </c>
      <c r="CK25" s="33">
        <v>1996.71930312325</v>
      </c>
      <c r="CL25" s="33">
        <v>1022.5511977905323</v>
      </c>
      <c r="CM25" s="33">
        <v>1429.0804043944513</v>
      </c>
      <c r="CN25" s="34">
        <f t="shared" si="14"/>
        <v>14613.693426295968</v>
      </c>
      <c r="CO25" s="141" t="s">
        <v>43</v>
      </c>
      <c r="CP25" s="141" t="s">
        <v>130</v>
      </c>
      <c r="CQ25" s="141" t="s">
        <v>44</v>
      </c>
      <c r="CR25" s="141" t="s">
        <v>132</v>
      </c>
      <c r="CS25" s="141" t="s">
        <v>45</v>
      </c>
    </row>
    <row r="26" spans="1:97" s="71" customFormat="1" ht="13.5" x14ac:dyDescent="0.2">
      <c r="A26" s="67">
        <v>1126</v>
      </c>
      <c r="B26" s="30" t="s">
        <v>177</v>
      </c>
      <c r="C26" s="118">
        <v>25971.161324493947</v>
      </c>
      <c r="D26" s="118">
        <v>35111.970349766001</v>
      </c>
      <c r="E26" s="121">
        <f t="shared" si="12"/>
        <v>0.3519599647879883</v>
      </c>
      <c r="F26" s="118">
        <v>8400.1828106854282</v>
      </c>
      <c r="G26" s="118">
        <v>13116.165713782</v>
      </c>
      <c r="H26" s="121">
        <f t="shared" si="0"/>
        <v>0.56141431792384555</v>
      </c>
      <c r="I26" s="118">
        <v>3198.353363039088</v>
      </c>
      <c r="J26" s="118">
        <v>4232.3302228819994</v>
      </c>
      <c r="K26" s="121">
        <f t="shared" si="1"/>
        <v>0.32328412232112536</v>
      </c>
      <c r="L26" s="26">
        <v>7025.4678308172097</v>
      </c>
      <c r="M26" s="26">
        <v>7526.8918574642539</v>
      </c>
      <c r="N26" s="27">
        <f t="shared" si="2"/>
        <v>7.1372332593645726E-2</v>
      </c>
      <c r="O26" s="118">
        <v>14115.87024913956</v>
      </c>
      <c r="P26" s="118">
        <v>14291.269421555349</v>
      </c>
      <c r="Q26" s="121">
        <f t="shared" si="3"/>
        <v>1.242567190828936E-2</v>
      </c>
      <c r="R26" s="131">
        <v>3360.4265547147443</v>
      </c>
      <c r="S26" s="131">
        <v>3997.1298039067142</v>
      </c>
      <c r="T26" s="121">
        <f t="shared" si="4"/>
        <v>0.18947096114886453</v>
      </c>
      <c r="U26" s="135">
        <f t="shared" si="15"/>
        <v>0.23806017591579809</v>
      </c>
      <c r="V26" s="135">
        <f t="shared" si="13"/>
        <v>0.2796903260306528</v>
      </c>
      <c r="W26" s="27" t="str">
        <f t="shared" si="5"/>
        <v>4,2 pt(s)</v>
      </c>
      <c r="X26" s="26">
        <v>419402.56099404301</v>
      </c>
      <c r="Y26" s="26">
        <v>421964.08397435513</v>
      </c>
      <c r="Z26" s="27">
        <f t="shared" si="6"/>
        <v>6.1075520717874809E-3</v>
      </c>
      <c r="AA26" s="47" t="s">
        <v>177</v>
      </c>
      <c r="AB26" s="36" t="str">
        <f>VLOOKUP($A$26&amp;"_"&amp;AB$41,bassins_diff_tri!$B:$H,AB$40,0)</f>
        <v>Ingénieurs et cadres d'études, R et D en informatique, chefs de projets informatiques</v>
      </c>
      <c r="AC26" s="47">
        <f>VLOOKUP($A$26&amp;"_"&amp;AC$41,bassins_diff_tri!$B:$H,AC$40,0)</f>
        <v>4294.5476822782402</v>
      </c>
      <c r="AD26" s="47">
        <f>VLOOKUP($A$26&amp;"_"&amp;AD$41,bassins_diff_tri!$B:$H,AD$40,0)</f>
        <v>809.00327632014557</v>
      </c>
      <c r="AE26" s="47">
        <f>VLOOKUP($A$26&amp;"_"&amp;AE$41,bassins_diff_tri!$B:$H,AE$40,0)</f>
        <v>3.4179120722143774</v>
      </c>
      <c r="AF26" s="36" t="str">
        <f>VLOOKUP($A$26&amp;"_"&amp;AF$41,bassins_diff_tri!$B:$H,AF$40,0)</f>
        <v>Agents d'entretien de locaux (y compris ATSEM)</v>
      </c>
      <c r="AG26" s="47">
        <f>VLOOKUP($A$26&amp;"_"&amp;AG$41,bassins_diff_tri!$B:$H,AG$40,0)</f>
        <v>2596.9321119014871</v>
      </c>
      <c r="AH26" s="47">
        <f>VLOOKUP($A$26&amp;"_"&amp;AH$41,bassins_diff_tri!$B:$H,AH$40,0)</f>
        <v>499.83033130707668</v>
      </c>
      <c r="AI26" s="47">
        <f>VLOOKUP($A$26&amp;"_"&amp;AI$41,bassins_diff_tri!$B:$H,AI$40,0)</f>
        <v>409.82679664567706</v>
      </c>
      <c r="AJ26" s="36" t="str">
        <f>VLOOKUP($A$26&amp;"_"&amp;AJ$41,bassins_diff_tri!$B:$H,AJ$40,0)</f>
        <v>Ingénieurs et cadres d'études, recherche et développement (industrie)</v>
      </c>
      <c r="AK26" s="47">
        <f>VLOOKUP($A$26&amp;"_"&amp;AK$41,bassins_diff_tri!$B:$H,AK$40,0)</f>
        <v>1520.10941957154</v>
      </c>
      <c r="AL26" s="47">
        <f>VLOOKUP($A$26&amp;"_"&amp;AL$41,bassins_diff_tri!$B:$H,AL$40,0)</f>
        <v>570.57976526942514</v>
      </c>
      <c r="AM26" s="47">
        <f>VLOOKUP($A$26&amp;"_"&amp;AM$41,bassins_diff_tri!$B:$H,AM$40,0)</f>
        <v>12.031486942563632</v>
      </c>
      <c r="AN26" s="36" t="str">
        <f>VLOOKUP($A$26&amp;"_"&amp;AN$41,bassins_diff_tri!$B:$H,AN$40,0)</f>
        <v>Aides, apprentis, employés polyvalents de cuisine (y compris crêpes, pizzas, plonge …)</v>
      </c>
      <c r="AO26" s="47">
        <f>VLOOKUP($A$26&amp;"_"&amp;AO$41,bassins_diff_tri!$B:$H,AO$40,0)</f>
        <v>1180.0032502226454</v>
      </c>
      <c r="AP26" s="47">
        <f>VLOOKUP($A$26&amp;"_"&amp;AP$41,bassins_diff_tri!$B:$H,AP$40,0)</f>
        <v>737.19227266591633</v>
      </c>
      <c r="AQ26" s="47">
        <f>VLOOKUP($A$26&amp;"_"&amp;AQ$41,bassins_diff_tri!$B:$H,AQ$40,0)</f>
        <v>594.68818753984965</v>
      </c>
      <c r="AR26" s="36" t="str">
        <f>VLOOKUP($A$26&amp;"_"&amp;AR$41,bassins_diff_tri!$B:$H,AR$40,0)</f>
        <v>Aides-soignants (aides médico-psychologiques, auxiliaires de puériculture, assistants médicaux…)</v>
      </c>
      <c r="AS26" s="47">
        <f>VLOOKUP($A$26&amp;"_"&amp;AS$41,bassins_diff_tri!$B:$H,AS$40,0)</f>
        <v>1121.2563482624844</v>
      </c>
      <c r="AT26" s="47">
        <f>VLOOKUP($A$26&amp;"_"&amp;AT$41,bassins_diff_tri!$B:$H,AT$40,0)</f>
        <v>730.06457817030514</v>
      </c>
      <c r="AU26" s="47">
        <f>VLOOKUP($A$26&amp;"_"&amp;AU$41,bassins_diff_tri!$B:$H,AU$40,0)</f>
        <v>474.9040042153556</v>
      </c>
      <c r="AV26" s="36" t="str">
        <f>VLOOKUP($A$26&amp;"_"&amp;AV$41,bassins_diff_tri!$B:$H,AV$40,0)</f>
        <v>Techniciens des industries de process (interventions techniques)</v>
      </c>
      <c r="AW26" s="47">
        <f>VLOOKUP($A$26&amp;"_"&amp;AW$41,bassins_diff_tri!$B:$H,AW$40,0)</f>
        <v>1081.7416031082355</v>
      </c>
      <c r="AX26" s="47">
        <f>VLOOKUP($A$26&amp;"_"&amp;AX$41,bassins_diff_tri!$B:$H,AX$40,0)</f>
        <v>53.249059923603127</v>
      </c>
      <c r="AY26" s="47">
        <f>VLOOKUP($A$26&amp;"_"&amp;AY$41,bassins_diff_tri!$B:$H,AY$40,0)</f>
        <v>0</v>
      </c>
      <c r="AZ26" s="36" t="str">
        <f>VLOOKUP($A$26&amp;"_"&amp;AZ$41,bassins_diff_tri!$B:$H,AZ$40,0)</f>
        <v>Aides à domicile, aides ménagères, travailleuses familiales</v>
      </c>
      <c r="BA26" s="47">
        <f>VLOOKUP($A$26&amp;"_"&amp;BA$41,bassins_diff_tri!$B:$H,BA$40,0)</f>
        <v>743.55386588567706</v>
      </c>
      <c r="BB26" s="47">
        <f>VLOOKUP($A$26&amp;"_"&amp;BB$41,bassins_diff_tri!$B:$H,BB$40,0)</f>
        <v>671.28278406181698</v>
      </c>
      <c r="BC26" s="47">
        <f>VLOOKUP($A$26&amp;"_"&amp;BC$41,bassins_diff_tri!$B:$H,BC$40,0)</f>
        <v>26.447253893950229</v>
      </c>
      <c r="BD26" s="36" t="str">
        <f>VLOOKUP($A$26&amp;"_"&amp;BD$41,bassins_diff_tri!$B:$H,BD$40,0)</f>
        <v>Agents d'accueil et d'information, standardistes</v>
      </c>
      <c r="BE26" s="47">
        <f>VLOOKUP($A$26&amp;"_"&amp;BE$41,bassins_diff_tri!$B:$H,BE$40,0)</f>
        <v>731.24968818287562</v>
      </c>
      <c r="BF26" s="47">
        <f>VLOOKUP($A$26&amp;"_"&amp;BF$41,bassins_diff_tri!$B:$H,BF$40,0)</f>
        <v>118.63158469790825</v>
      </c>
      <c r="BG26" s="47">
        <f>VLOOKUP($A$26&amp;"_"&amp;BG$41,bassins_diff_tri!$B:$H,BG$40,0)</f>
        <v>61.647363519817034</v>
      </c>
      <c r="BH26" s="36" t="str">
        <f>VLOOKUP($A$26&amp;"_"&amp;BH$41,bassins_diff_tri!$B:$H,BH$40,0)</f>
        <v>Employés de libre-service</v>
      </c>
      <c r="BI26" s="47">
        <f>VLOOKUP($A$26&amp;"_"&amp;BI$41,bassins_diff_tri!$B:$H,BI$40,0)</f>
        <v>697.37112850464405</v>
      </c>
      <c r="BJ26" s="47">
        <f>VLOOKUP($A$26&amp;"_"&amp;BJ$41,bassins_diff_tri!$B:$H,BJ$40,0)</f>
        <v>37.790829975819797</v>
      </c>
      <c r="BK26" s="47">
        <f>VLOOKUP($A$26&amp;"_"&amp;BK$41,bassins_diff_tri!$B:$H,BK$40,0)</f>
        <v>124.90256049329591</v>
      </c>
      <c r="BL26" s="36" t="str">
        <f>VLOOKUP($A$26&amp;"_"&amp;BL$41,bassins_diff_tri!$B:$H,BL$40,0)</f>
        <v>Commerciaux (techniciens commerciaux en entreprise)</v>
      </c>
      <c r="BM26" s="47">
        <f>VLOOKUP($A$26&amp;"_"&amp;BM$41,bassins_diff_tri!$B:$H,BM$40,0)</f>
        <v>632.43823065873971</v>
      </c>
      <c r="BN26" s="47">
        <f>VLOOKUP($A$26&amp;"_"&amp;BN$41,bassins_diff_tri!$B:$H,BN$40,0)</f>
        <v>216.79899232253652</v>
      </c>
      <c r="BO26" s="47">
        <f>VLOOKUP($A$26&amp;"_"&amp;BO$41,bassins_diff_tri!$B:$H,BO$40,0)</f>
        <v>13.696886184895039</v>
      </c>
      <c r="BP26" s="47"/>
      <c r="BQ26" s="138">
        <v>400.07822472966382</v>
      </c>
      <c r="BR26" s="138">
        <v>1831.8826063441131</v>
      </c>
      <c r="BS26" s="138">
        <v>2221.9742229649328</v>
      </c>
      <c r="BT26" s="138">
        <v>4546.7577561638873</v>
      </c>
      <c r="BU26" s="138">
        <v>26111.277539559534</v>
      </c>
      <c r="BV26" s="138">
        <v>1132.7288758320733</v>
      </c>
      <c r="BW26" s="138">
        <v>2596.0203529292476</v>
      </c>
      <c r="BX26" s="138">
        <v>2312.6093403305285</v>
      </c>
      <c r="BY26" s="138">
        <v>443.59767804122049</v>
      </c>
      <c r="BZ26" s="138">
        <v>256.39591310036542</v>
      </c>
      <c r="CA26" s="138">
        <v>12545.980099782708</v>
      </c>
      <c r="CB26" s="138">
        <v>1655.4380411577947</v>
      </c>
      <c r="CC26" s="138">
        <v>3294.9783964509634</v>
      </c>
      <c r="CD26" s="138">
        <v>1873.5288419346339</v>
      </c>
      <c r="CE26" s="140">
        <f t="shared" si="7"/>
        <v>35111.97034976213</v>
      </c>
      <c r="CF26" s="33">
        <v>2982.1628145795244</v>
      </c>
      <c r="CG26" s="33">
        <v>3311.6306787326807</v>
      </c>
      <c r="CH26" s="33">
        <v>2420.52956381176</v>
      </c>
      <c r="CI26" s="33">
        <v>3737.7119626828535</v>
      </c>
      <c r="CJ26" s="33">
        <v>4080.3841945483136</v>
      </c>
      <c r="CK26" s="33">
        <v>3068.1587240052472</v>
      </c>
      <c r="CL26" s="33">
        <v>2862.7160014823758</v>
      </c>
      <c r="CM26" s="33">
        <v>12648.676409919377</v>
      </c>
      <c r="CN26" s="34">
        <f t="shared" si="14"/>
        <v>35111.97034976213</v>
      </c>
      <c r="CO26" s="141" t="s">
        <v>125</v>
      </c>
      <c r="CP26" s="141" t="s">
        <v>43</v>
      </c>
      <c r="CQ26" s="141" t="s">
        <v>126</v>
      </c>
      <c r="CR26" s="141" t="s">
        <v>128</v>
      </c>
      <c r="CS26" s="141" t="s">
        <v>132</v>
      </c>
    </row>
    <row r="27" spans="1:97" s="71" customFormat="1" ht="13.5" x14ac:dyDescent="0.2">
      <c r="A27" s="67">
        <v>1127</v>
      </c>
      <c r="B27" s="30" t="s">
        <v>178</v>
      </c>
      <c r="C27" s="118">
        <v>5857.737124475374</v>
      </c>
      <c r="D27" s="118">
        <v>7433.5727630059991</v>
      </c>
      <c r="E27" s="121">
        <f t="shared" si="12"/>
        <v>0.26901781439565009</v>
      </c>
      <c r="F27" s="118">
        <v>2152.5858911904961</v>
      </c>
      <c r="G27" s="118">
        <v>2763.2105104980001</v>
      </c>
      <c r="H27" s="121">
        <f t="shared" si="0"/>
        <v>0.28367026923594474</v>
      </c>
      <c r="I27" s="118">
        <v>1110.852848088085</v>
      </c>
      <c r="J27" s="118">
        <v>1002.6871002920001</v>
      </c>
      <c r="K27" s="121">
        <f t="shared" si="1"/>
        <v>-9.7371805799707389E-2</v>
      </c>
      <c r="L27" s="26">
        <v>1317.48570182616</v>
      </c>
      <c r="M27" s="26">
        <v>1974.15138445864</v>
      </c>
      <c r="N27" s="27">
        <f t="shared" si="2"/>
        <v>0.49842338457432911</v>
      </c>
      <c r="O27" s="118">
        <v>121.03007069007414</v>
      </c>
      <c r="P27" s="118">
        <v>89.764171476296866</v>
      </c>
      <c r="Q27" s="121">
        <f t="shared" si="3"/>
        <v>-0.25833166117733619</v>
      </c>
      <c r="R27" s="131">
        <v>41.729268568376725</v>
      </c>
      <c r="S27" s="131">
        <v>18.224618262871001</v>
      </c>
      <c r="T27" s="121">
        <f t="shared" si="4"/>
        <v>-0.56326533178964033</v>
      </c>
      <c r="U27" s="135">
        <f t="shared" si="15"/>
        <v>0.34478430302857788</v>
      </c>
      <c r="V27" s="135">
        <f t="shared" si="13"/>
        <v>0.20302775554145672</v>
      </c>
      <c r="W27" s="27" t="str">
        <f t="shared" si="5"/>
        <v>-14,2 pt(s)</v>
      </c>
      <c r="X27" s="26">
        <v>102906.73264717701</v>
      </c>
      <c r="Y27" s="26">
        <v>134066.11088536121</v>
      </c>
      <c r="Z27" s="27">
        <f t="shared" si="6"/>
        <v>0.30279241636226395</v>
      </c>
      <c r="AA27" s="47" t="s">
        <v>178</v>
      </c>
      <c r="AB27" s="36" t="str">
        <f>VLOOKUP($A$27&amp;"_"&amp;AB$41,bassins_diff_tri!$B:$H,AB$40,0)</f>
        <v>Ouvriers non qualifiés de l'emballage et manutentionnaires</v>
      </c>
      <c r="AC27" s="47">
        <f>VLOOKUP($A$27&amp;"_"&amp;AC$41,bassins_diff_tri!$B:$H,AC$40,0)</f>
        <v>554.25441902125226</v>
      </c>
      <c r="AD27" s="47">
        <f>VLOOKUP($A$27&amp;"_"&amp;AD$41,bassins_diff_tri!$B:$H,AD$40,0)</f>
        <v>78.79465042680836</v>
      </c>
      <c r="AE27" s="47">
        <f>VLOOKUP($A$27&amp;"_"&amp;AE$41,bassins_diff_tri!$B:$H,AE$40,0)</f>
        <v>103.58294852696224</v>
      </c>
      <c r="AF27" s="36" t="str">
        <f>VLOOKUP($A$27&amp;"_"&amp;AF$41,bassins_diff_tri!$B:$H,AF$40,0)</f>
        <v>Agents de sécurité et de surveillance, enquêteurs privés et métiers assimilés</v>
      </c>
      <c r="AG27" s="47">
        <f>VLOOKUP($A$27&amp;"_"&amp;AG$41,bassins_diff_tri!$B:$H,AG$40,0)</f>
        <v>352.54494184613714</v>
      </c>
      <c r="AH27" s="47">
        <f>VLOOKUP($A$27&amp;"_"&amp;AH$41,bassins_diff_tri!$B:$H,AH$40,0)</f>
        <v>112.27640798478157</v>
      </c>
      <c r="AI27" s="47">
        <f>VLOOKUP($A$27&amp;"_"&amp;AI$41,bassins_diff_tri!$B:$H,AI$40,0)</f>
        <v>46.306771979881873</v>
      </c>
      <c r="AJ27" s="36" t="str">
        <f>VLOOKUP($A$27&amp;"_"&amp;AJ$41,bassins_diff_tri!$B:$H,AJ$40,0)</f>
        <v>Agents d'entretien de locaux (y compris ATSEM)</v>
      </c>
      <c r="AK27" s="47">
        <f>VLOOKUP($A$27&amp;"_"&amp;AK$41,bassins_diff_tri!$B:$H,AK$40,0)</f>
        <v>255.89506166290653</v>
      </c>
      <c r="AL27" s="47">
        <f>VLOOKUP($A$27&amp;"_"&amp;AL$41,bassins_diff_tri!$B:$H,AL$40,0)</f>
        <v>110.22767654310078</v>
      </c>
      <c r="AM27" s="47">
        <f>VLOOKUP($A$27&amp;"_"&amp;AM$41,bassins_diff_tri!$B:$H,AM$40,0)</f>
        <v>107.37874427297515</v>
      </c>
      <c r="AN27" s="36" t="str">
        <f>VLOOKUP($A$27&amp;"_"&amp;AN$41,bassins_diff_tri!$B:$H,AN$40,0)</f>
        <v>Aides, apprentis, employés polyvalents de cuisine (y compris crêpes, pizzas, plonge …)</v>
      </c>
      <c r="AO27" s="47">
        <f>VLOOKUP($A$27&amp;"_"&amp;AO$41,bassins_diff_tri!$B:$H,AO$40,0)</f>
        <v>249.3416187794551</v>
      </c>
      <c r="AP27" s="47">
        <f>VLOOKUP($A$27&amp;"_"&amp;AP$41,bassins_diff_tri!$B:$H,AP$40,0)</f>
        <v>31.820826960759529</v>
      </c>
      <c r="AQ27" s="47">
        <f>VLOOKUP($A$27&amp;"_"&amp;AQ$41,bassins_diff_tri!$B:$H,AQ$40,0)</f>
        <v>32.485647823924971</v>
      </c>
      <c r="AR27" s="36" t="str">
        <f>VLOOKUP($A$27&amp;"_"&amp;AR$41,bassins_diff_tri!$B:$H,AR$40,0)</f>
        <v>Aides à domicile, aides ménagères, travailleuses familiales</v>
      </c>
      <c r="AS27" s="47">
        <f>VLOOKUP($A$27&amp;"_"&amp;AS$41,bassins_diff_tri!$B:$H,AS$40,0)</f>
        <v>195.5787219163588</v>
      </c>
      <c r="AT27" s="47">
        <f>VLOOKUP($A$27&amp;"_"&amp;AT$41,bassins_diff_tri!$B:$H,AT$40,0)</f>
        <v>110.8952889210355</v>
      </c>
      <c r="AU27" s="47">
        <f>VLOOKUP($A$27&amp;"_"&amp;AU$41,bassins_diff_tri!$B:$H,AU$40,0)</f>
        <v>20</v>
      </c>
      <c r="AV27" s="36" t="str">
        <f>VLOOKUP($A$27&amp;"_"&amp;AV$41,bassins_diff_tri!$B:$H,AV$40,0)</f>
        <v>Ingénieurs et cadres d'études, recherche et développement (industrie)</v>
      </c>
      <c r="AW27" s="47">
        <f>VLOOKUP($A$27&amp;"_"&amp;AW$41,bassins_diff_tri!$B:$H,AW$40,0)</f>
        <v>193.37381766630492</v>
      </c>
      <c r="AX27" s="47">
        <f>VLOOKUP($A$27&amp;"_"&amp;AX$41,bassins_diff_tri!$B:$H,AX$40,0)</f>
        <v>177.79325378868458</v>
      </c>
      <c r="AY27" s="47">
        <f>VLOOKUP($A$27&amp;"_"&amp;AY$41,bassins_diff_tri!$B:$H,AY$40,0)</f>
        <v>0</v>
      </c>
      <c r="AZ27" s="36" t="str">
        <f>VLOOKUP($A$27&amp;"_"&amp;AZ$41,bassins_diff_tri!$B:$H,AZ$40,0)</f>
        <v>Secrétaires bureautiques et assimilés (y compris secrétaires médicales)</v>
      </c>
      <c r="BA27" s="47">
        <f>VLOOKUP($A$27&amp;"_"&amp;BA$41,bassins_diff_tri!$B:$H,BA$40,0)</f>
        <v>177.92751870528249</v>
      </c>
      <c r="BB27" s="47">
        <f>VLOOKUP($A$27&amp;"_"&amp;BB$41,bassins_diff_tri!$B:$H,BB$40,0)</f>
        <v>71.795329183245002</v>
      </c>
      <c r="BC27" s="47">
        <f>VLOOKUP($A$27&amp;"_"&amp;BC$41,bassins_diff_tri!$B:$H,BC$40,0)</f>
        <v>16.684656613763881</v>
      </c>
      <c r="BD27" s="36" t="str">
        <f>VLOOKUP($A$27&amp;"_"&amp;BD$41,bassins_diff_tri!$B:$H,BD$40,0)</f>
        <v>Professionnels de l'animation socioculturelle (animateurs et directeurs)</v>
      </c>
      <c r="BE27" s="47">
        <f>VLOOKUP($A$27&amp;"_"&amp;BE$41,bassins_diff_tri!$B:$H,BE$40,0)</f>
        <v>175.51624823320947</v>
      </c>
      <c r="BF27" s="47">
        <f>VLOOKUP($A$27&amp;"_"&amp;BF$41,bassins_diff_tri!$B:$H,BF$40,0)</f>
        <v>18.277506672211128</v>
      </c>
      <c r="BG27" s="47">
        <f>VLOOKUP($A$27&amp;"_"&amp;BG$41,bassins_diff_tri!$B:$H,BG$40,0)</f>
        <v>33.154593713130126</v>
      </c>
      <c r="BH27" s="36" t="str">
        <f>VLOOKUP($A$27&amp;"_"&amp;BH$41,bassins_diff_tri!$B:$H,BH$40,0)</f>
        <v>Employés des services funéraires et autres services divers (développement personnel, loisirs, jeux…)</v>
      </c>
      <c r="BI27" s="47">
        <f>VLOOKUP($A$27&amp;"_"&amp;BI$41,bassins_diff_tri!$B:$H,BI$40,0)</f>
        <v>158.82957731759095</v>
      </c>
      <c r="BJ27" s="47">
        <f>VLOOKUP($A$27&amp;"_"&amp;BJ$41,bassins_diff_tri!$B:$H,BJ$40,0)</f>
        <v>13.650449448686555</v>
      </c>
      <c r="BK27" s="47">
        <f>VLOOKUP($A$27&amp;"_"&amp;BK$41,bassins_diff_tri!$B:$H,BK$40,0)</f>
        <v>145.1791278689044</v>
      </c>
      <c r="BL27" s="36" t="str">
        <f>VLOOKUP($A$27&amp;"_"&amp;BL$41,bassins_diff_tri!$B:$H,BL$40,0)</f>
        <v>Agents administratifs divers (saisie, assistanat RH, enquêtes…)</v>
      </c>
      <c r="BM27" s="47">
        <f>VLOOKUP($A$27&amp;"_"&amp;BM$41,bassins_diff_tri!$B:$H,BM$40,0)</f>
        <v>152.97635836506376</v>
      </c>
      <c r="BN27" s="47">
        <f>VLOOKUP($A$27&amp;"_"&amp;BN$41,bassins_diff_tri!$B:$H,BN$40,0)</f>
        <v>19.912118340853063</v>
      </c>
      <c r="BO27" s="47">
        <f>VLOOKUP($A$27&amp;"_"&amp;BO$41,bassins_diff_tri!$B:$H,BO$40,0)</f>
        <v>0</v>
      </c>
      <c r="BP27" s="47"/>
      <c r="BQ27" s="138">
        <v>157.30977082387039</v>
      </c>
      <c r="BR27" s="138">
        <v>530.35099734206767</v>
      </c>
      <c r="BS27" s="138">
        <v>655.80472450615548</v>
      </c>
      <c r="BT27" s="138">
        <v>945.61518708331835</v>
      </c>
      <c r="BU27" s="138">
        <v>5144.4920832547787</v>
      </c>
      <c r="BV27" s="138">
        <v>713.91633749663742</v>
      </c>
      <c r="BW27" s="138">
        <v>436.18403778482553</v>
      </c>
      <c r="BX27" s="138">
        <v>343.14365002157547</v>
      </c>
      <c r="BY27" s="138">
        <v>131.37566354426204</v>
      </c>
      <c r="BZ27" s="138">
        <v>66.668702343341266</v>
      </c>
      <c r="CA27" s="138">
        <v>1371.1190292178155</v>
      </c>
      <c r="CB27" s="138">
        <v>600.07329655061835</v>
      </c>
      <c r="CC27" s="138">
        <v>636.09332371025835</v>
      </c>
      <c r="CD27" s="138">
        <v>845.91804258544505</v>
      </c>
      <c r="CE27" s="140">
        <f t="shared" si="7"/>
        <v>7433.5727630101901</v>
      </c>
      <c r="CF27" s="33">
        <v>1148.880323891507</v>
      </c>
      <c r="CG27" s="33">
        <v>921.41001231722953</v>
      </c>
      <c r="CH27" s="33">
        <v>745.69009755337277</v>
      </c>
      <c r="CI27" s="33">
        <v>779.94164629983266</v>
      </c>
      <c r="CJ27" s="33">
        <v>1075.9065159433217</v>
      </c>
      <c r="CK27" s="33">
        <v>983.66185254134439</v>
      </c>
      <c r="CL27" s="33">
        <v>519.50036727699444</v>
      </c>
      <c r="CM27" s="33">
        <v>1258.5819471865886</v>
      </c>
      <c r="CN27" s="34">
        <f t="shared" si="14"/>
        <v>7433.572763010191</v>
      </c>
      <c r="CO27" s="141" t="s">
        <v>49</v>
      </c>
      <c r="CP27" s="141" t="s">
        <v>44</v>
      </c>
      <c r="CQ27" s="141" t="s">
        <v>43</v>
      </c>
      <c r="CR27" s="141" t="s">
        <v>128</v>
      </c>
      <c r="CS27" s="141" t="s">
        <v>130</v>
      </c>
    </row>
    <row r="28" spans="1:97" s="71" customFormat="1" ht="13.5" x14ac:dyDescent="0.2">
      <c r="A28" s="68">
        <v>1128</v>
      </c>
      <c r="B28" s="15" t="s">
        <v>179</v>
      </c>
      <c r="C28" s="118">
        <v>3200.0859901978147</v>
      </c>
      <c r="D28" s="118">
        <v>3530.2943310449996</v>
      </c>
      <c r="E28" s="121">
        <f t="shared" si="12"/>
        <v>0.10318733367123456</v>
      </c>
      <c r="F28" s="118">
        <v>1121.0332933041807</v>
      </c>
      <c r="G28" s="118">
        <v>1390.47126936</v>
      </c>
      <c r="H28" s="121">
        <f t="shared" si="0"/>
        <v>0.24034788053588163</v>
      </c>
      <c r="I28" s="118">
        <v>562.34357890922695</v>
      </c>
      <c r="J28" s="118">
        <v>1077.3659485779999</v>
      </c>
      <c r="K28" s="121">
        <f t="shared" si="1"/>
        <v>0.91585000520101523</v>
      </c>
      <c r="L28" s="26">
        <v>648.83374027637797</v>
      </c>
      <c r="M28" s="26">
        <v>771.71894422194237</v>
      </c>
      <c r="N28" s="27">
        <f t="shared" si="2"/>
        <v>0.18939397925456225</v>
      </c>
      <c r="O28" s="118">
        <v>4748.0000002611396</v>
      </c>
      <c r="P28" s="118">
        <v>4799.0000002655697</v>
      </c>
      <c r="Q28" s="121">
        <f t="shared" si="3"/>
        <v>1.0741364785515017E-2</v>
      </c>
      <c r="R28" s="131">
        <v>878.07979675239324</v>
      </c>
      <c r="S28" s="131">
        <v>870.87572960065665</v>
      </c>
      <c r="T28" s="121">
        <f t="shared" si="4"/>
        <v>-8.2043422230884122E-3</v>
      </c>
      <c r="U28" s="135">
        <f t="shared" si="15"/>
        <v>0.18493677268409833</v>
      </c>
      <c r="V28" s="135">
        <f t="shared" si="13"/>
        <v>0.18147024995883801</v>
      </c>
      <c r="W28" s="27" t="str">
        <f t="shared" si="5"/>
        <v>-0,3 pt(s)</v>
      </c>
      <c r="X28" s="26">
        <v>83938.512748659894</v>
      </c>
      <c r="Y28" s="26">
        <v>43873.04312930195</v>
      </c>
      <c r="Z28" s="27">
        <f t="shared" si="6"/>
        <v>-0.47731926987231021</v>
      </c>
      <c r="AA28" s="47" t="s">
        <v>179</v>
      </c>
      <c r="AB28" s="36" t="str">
        <f>VLOOKUP($A$28&amp;"_"&amp;AB$41,bassins_diff_tri!$B:$H,AB$40,0)</f>
        <v>Agents d'entretien de locaux (y compris ATSEM)</v>
      </c>
      <c r="AC28" s="47">
        <f>VLOOKUP($A$28&amp;"_"&amp;AC$41,bassins_diff_tri!$B:$H,AC$40,0)</f>
        <v>826.02016516767549</v>
      </c>
      <c r="AD28" s="47">
        <f>VLOOKUP($A$28&amp;"_"&amp;AD$41,bassins_diff_tri!$B:$H,AD$40,0)</f>
        <v>0</v>
      </c>
      <c r="AE28" s="47">
        <f>VLOOKUP($A$28&amp;"_"&amp;AE$41,bassins_diff_tri!$B:$H,AE$40,0)</f>
        <v>359.07011830360517</v>
      </c>
      <c r="AF28" s="36" t="str">
        <f>VLOOKUP($A$28&amp;"_"&amp;AF$41,bassins_diff_tri!$B:$H,AF$40,0)</f>
        <v>Agriculteurs salariés, ouvriers agricoles</v>
      </c>
      <c r="AG28" s="47">
        <f>VLOOKUP($A$28&amp;"_"&amp;AG$41,bassins_diff_tri!$B:$H,AG$40,0)</f>
        <v>203.05898119070693</v>
      </c>
      <c r="AH28" s="47">
        <f>VLOOKUP($A$28&amp;"_"&amp;AH$41,bassins_diff_tri!$B:$H,AH$40,0)</f>
        <v>195.6441898459351</v>
      </c>
      <c r="AI28" s="47">
        <f>VLOOKUP($A$28&amp;"_"&amp;AI$41,bassins_diff_tri!$B:$H,AI$40,0)</f>
        <v>195.6441898459351</v>
      </c>
      <c r="AJ28" s="36" t="str">
        <f>VLOOKUP($A$28&amp;"_"&amp;AJ$41,bassins_diff_tri!$B:$H,AJ$40,0)</f>
        <v>Ouvriers non qualifiés de l'emballage et manutentionnaires</v>
      </c>
      <c r="AK28" s="47">
        <f>VLOOKUP($A$28&amp;"_"&amp;AK$41,bassins_diff_tri!$B:$H,AK$40,0)</f>
        <v>146.44866428023431</v>
      </c>
      <c r="AL28" s="47">
        <f>VLOOKUP($A$28&amp;"_"&amp;AL$41,bassins_diff_tri!$B:$H,AL$40,0)</f>
        <v>69.175087869064257</v>
      </c>
      <c r="AM28" s="47">
        <f>VLOOKUP($A$28&amp;"_"&amp;AM$41,bassins_diff_tri!$B:$H,AM$40,0)</f>
        <v>93.452131292169923</v>
      </c>
      <c r="AN28" s="36" t="str">
        <f>VLOOKUP($A$28&amp;"_"&amp;AN$41,bassins_diff_tri!$B:$H,AN$40,0)</f>
        <v>Artistes, professeurs d'art (musique, danse, spectacles)</v>
      </c>
      <c r="AO28" s="47">
        <f>VLOOKUP($A$28&amp;"_"&amp;AO$41,bassins_diff_tri!$B:$H,AO$40,0)</f>
        <v>108.39388980639742</v>
      </c>
      <c r="AP28" s="47">
        <f>VLOOKUP($A$28&amp;"_"&amp;AP$41,bassins_diff_tri!$B:$H,AP$40,0)</f>
        <v>5.6880065818328491</v>
      </c>
      <c r="AQ28" s="47">
        <f>VLOOKUP($A$28&amp;"_"&amp;AQ$41,bassins_diff_tri!$B:$H,AQ$40,0)</f>
        <v>0</v>
      </c>
      <c r="AR28" s="36" t="str">
        <f>VLOOKUP($A$28&amp;"_"&amp;AR$41,bassins_diff_tri!$B:$H,AR$40,0)</f>
        <v>Infirmiers, cadres infirmiers et puéricultrices</v>
      </c>
      <c r="AS28" s="47">
        <f>VLOOKUP($A$28&amp;"_"&amp;AS$41,bassins_diff_tri!$B:$H,AS$40,0)</f>
        <v>105.30128718062655</v>
      </c>
      <c r="AT28" s="47">
        <f>VLOOKUP($A$28&amp;"_"&amp;AT$41,bassins_diff_tri!$B:$H,AT$40,0)</f>
        <v>11.582638586936481</v>
      </c>
      <c r="AU28" s="47">
        <f>VLOOKUP($A$28&amp;"_"&amp;AU$41,bassins_diff_tri!$B:$H,AU$40,0)</f>
        <v>4.7634617153428147</v>
      </c>
      <c r="AV28" s="36" t="str">
        <f>VLOOKUP($A$28&amp;"_"&amp;AV$41,bassins_diff_tri!$B:$H,AV$40,0)</f>
        <v>Employés de libre-service</v>
      </c>
      <c r="AW28" s="47">
        <f>VLOOKUP($A$28&amp;"_"&amp;AW$41,bassins_diff_tri!$B:$H,AW$40,0)</f>
        <v>97.830178570613398</v>
      </c>
      <c r="AX28" s="47">
        <f>VLOOKUP($A$28&amp;"_"&amp;AX$41,bassins_diff_tri!$B:$H,AX$40,0)</f>
        <v>0</v>
      </c>
      <c r="AY28" s="47">
        <f>VLOOKUP($A$28&amp;"_"&amp;AY$41,bassins_diff_tri!$B:$H,AY$40,0)</f>
        <v>5.8301785706134019</v>
      </c>
      <c r="AZ28" s="36" t="str">
        <f>VLOOKUP($A$28&amp;"_"&amp;AZ$41,bassins_diff_tri!$B:$H,AZ$40,0)</f>
        <v>Aides-soignants (aides médico-psychologiques, auxiliaires de puériculture, assistants médicaux…)</v>
      </c>
      <c r="BA28" s="47">
        <f>VLOOKUP($A$28&amp;"_"&amp;BA$41,bassins_diff_tri!$B:$H,BA$40,0)</f>
        <v>84.184848018757918</v>
      </c>
      <c r="BB28" s="47">
        <f>VLOOKUP($A$28&amp;"_"&amp;BB$41,bassins_diff_tri!$B:$H,BB$40,0)</f>
        <v>67.324873914696909</v>
      </c>
      <c r="BC28" s="47">
        <f>VLOOKUP($A$28&amp;"_"&amp;BC$41,bassins_diff_tri!$B:$H,BC$40,0)</f>
        <v>44.693203851398785</v>
      </c>
      <c r="BD28" s="36" t="str">
        <f>VLOOKUP($A$28&amp;"_"&amp;BD$41,bassins_diff_tri!$B:$H,BD$40,0)</f>
        <v>Aides, apprentis, employés polyvalents de cuisine (y compris crêpes, pizzas, plonge …)</v>
      </c>
      <c r="BE28" s="47">
        <f>VLOOKUP($A$28&amp;"_"&amp;BE$41,bassins_diff_tri!$B:$H,BE$40,0)</f>
        <v>79.421271312952769</v>
      </c>
      <c r="BF28" s="47">
        <f>VLOOKUP($A$28&amp;"_"&amp;BF$41,bassins_diff_tri!$B:$H,BF$40,0)</f>
        <v>63.855967386543711</v>
      </c>
      <c r="BG28" s="47">
        <f>VLOOKUP($A$28&amp;"_"&amp;BG$41,bassins_diff_tri!$B:$H,BG$40,0)</f>
        <v>22.193063031060738</v>
      </c>
      <c r="BH28" s="36" t="str">
        <f>VLOOKUP($A$28&amp;"_"&amp;BH$41,bassins_diff_tri!$B:$H,BH$40,0)</f>
        <v>Aides à domicile, aides ménagères, travailleuses familiales</v>
      </c>
      <c r="BI28" s="47">
        <f>VLOOKUP($A$28&amp;"_"&amp;BI$41,bassins_diff_tri!$B:$H,BI$40,0)</f>
        <v>78.950800167586237</v>
      </c>
      <c r="BJ28" s="47">
        <f>VLOOKUP($A$28&amp;"_"&amp;BJ$41,bassins_diff_tri!$B:$H,BJ$40,0)</f>
        <v>68.950800167586237</v>
      </c>
      <c r="BK28" s="47">
        <f>VLOOKUP($A$28&amp;"_"&amp;BK$41,bassins_diff_tri!$B:$H,BK$40,0)</f>
        <v>18.50143640625766</v>
      </c>
      <c r="BL28" s="36" t="str">
        <f>VLOOKUP($A$28&amp;"_"&amp;BL$41,bassins_diff_tri!$B:$H,BL$40,0)</f>
        <v>Ouvriers de l'assainissement et du traitement des déchets</v>
      </c>
      <c r="BM28" s="47">
        <f>VLOOKUP($A$28&amp;"_"&amp;BM$41,bassins_diff_tri!$B:$H,BM$40,0)</f>
        <v>73.429389773824539</v>
      </c>
      <c r="BN28" s="47">
        <f>VLOOKUP($A$28&amp;"_"&amp;BN$41,bassins_diff_tri!$B:$H,BN$40,0)</f>
        <v>10</v>
      </c>
      <c r="BO28" s="47">
        <f>VLOOKUP($A$28&amp;"_"&amp;BO$41,bassins_diff_tri!$B:$H,BO$40,0)</f>
        <v>61.99435634802537</v>
      </c>
      <c r="BP28" s="47"/>
      <c r="BQ28" s="138">
        <v>86.795924055762796</v>
      </c>
      <c r="BR28" s="138">
        <v>113.75431731172549</v>
      </c>
      <c r="BS28" s="138">
        <v>232.33485137576258</v>
      </c>
      <c r="BT28" s="138">
        <v>453.46783320866234</v>
      </c>
      <c r="BU28" s="138">
        <v>2643.9414050963319</v>
      </c>
      <c r="BV28" s="138">
        <v>169.25940047683218</v>
      </c>
      <c r="BW28" s="138">
        <v>158.02919770865304</v>
      </c>
      <c r="BX28" s="138">
        <v>74.069509727881723</v>
      </c>
      <c r="BY28" s="138">
        <v>18.610071897688144</v>
      </c>
      <c r="BZ28" s="138">
        <v>68.776312111341525</v>
      </c>
      <c r="CA28" s="138">
        <v>1151.7167051683541</v>
      </c>
      <c r="CB28" s="138">
        <v>317.20131365281674</v>
      </c>
      <c r="CC28" s="138">
        <v>416.04327147360192</v>
      </c>
      <c r="CD28" s="138">
        <v>270.23562287916229</v>
      </c>
      <c r="CE28" s="140">
        <f t="shared" si="7"/>
        <v>3530.2943310482451</v>
      </c>
      <c r="CF28" s="33">
        <v>421.81471638490871</v>
      </c>
      <c r="CG28" s="33">
        <v>412.61369786307239</v>
      </c>
      <c r="CH28" s="33">
        <v>307.20861426217471</v>
      </c>
      <c r="CI28" s="33">
        <v>315.94611815630333</v>
      </c>
      <c r="CJ28" s="33">
        <v>473.79174528688304</v>
      </c>
      <c r="CK28" s="33">
        <v>414.16374047406839</v>
      </c>
      <c r="CL28" s="33">
        <v>240.47512157987703</v>
      </c>
      <c r="CM28" s="33">
        <v>944.28057704095727</v>
      </c>
      <c r="CN28" s="34">
        <f t="shared" si="14"/>
        <v>3530.2943310482447</v>
      </c>
      <c r="CO28" s="141" t="s">
        <v>43</v>
      </c>
      <c r="CP28" s="141" t="s">
        <v>158</v>
      </c>
      <c r="CQ28" s="141" t="s">
        <v>49</v>
      </c>
      <c r="CR28" s="141" t="s">
        <v>131</v>
      </c>
      <c r="CS28" s="141" t="s">
        <v>193</v>
      </c>
    </row>
    <row r="29" spans="1:97" s="71" customFormat="1" ht="13.5" x14ac:dyDescent="0.2">
      <c r="A29" s="68">
        <v>1129</v>
      </c>
      <c r="B29" s="16" t="s">
        <v>180</v>
      </c>
      <c r="C29" s="118">
        <v>14197.378658938482</v>
      </c>
      <c r="D29" s="118">
        <v>18629.547168936999</v>
      </c>
      <c r="E29" s="121">
        <f t="shared" si="12"/>
        <v>0.3121821722496696</v>
      </c>
      <c r="F29" s="118">
        <v>5576.2002485041357</v>
      </c>
      <c r="G29" s="118">
        <v>7881.6197976949998</v>
      </c>
      <c r="H29" s="121">
        <f t="shared" si="0"/>
        <v>0.41343916044071638</v>
      </c>
      <c r="I29" s="118">
        <v>2582.8739589255451</v>
      </c>
      <c r="J29" s="118">
        <v>2828.597763316001</v>
      </c>
      <c r="K29" s="121">
        <f t="shared" si="1"/>
        <v>9.5135809295423313E-2</v>
      </c>
      <c r="L29" s="26">
        <v>3400.5218094055099</v>
      </c>
      <c r="M29" s="26">
        <v>4949.2172594238182</v>
      </c>
      <c r="N29" s="27">
        <f t="shared" si="2"/>
        <v>0.45542876558967182</v>
      </c>
      <c r="O29" s="118">
        <v>3689.8084885821104</v>
      </c>
      <c r="P29" s="118">
        <v>3718.3942315726035</v>
      </c>
      <c r="Q29" s="121">
        <f t="shared" si="3"/>
        <v>7.7472158999443153E-3</v>
      </c>
      <c r="R29" s="131">
        <v>693.65243983954917</v>
      </c>
      <c r="S29" s="131">
        <v>781.31198563045734</v>
      </c>
      <c r="T29" s="121">
        <f t="shared" si="4"/>
        <v>0.12637387365232211</v>
      </c>
      <c r="U29" s="135">
        <f t="shared" si="15"/>
        <v>0.18799144779085819</v>
      </c>
      <c r="V29" s="135">
        <f t="shared" si="13"/>
        <v>0.21012080402782377</v>
      </c>
      <c r="W29" s="27" t="str">
        <f t="shared" si="5"/>
        <v>2,2 pt(s)</v>
      </c>
      <c r="X29" s="26">
        <v>264773.945548566</v>
      </c>
      <c r="Y29" s="26">
        <v>259656.58272662325</v>
      </c>
      <c r="Z29" s="27">
        <f t="shared" si="6"/>
        <v>-1.9327289969337635E-2</v>
      </c>
      <c r="AA29" s="47" t="s">
        <v>180</v>
      </c>
      <c r="AB29" s="36" t="str">
        <f>VLOOKUP($A$29&amp;"_"&amp;AB$41,bassins_diff_tri!$B:$H,AB$40,0)</f>
        <v>Agents d'entretien de locaux (y compris ATSEM)</v>
      </c>
      <c r="AC29" s="47">
        <f>VLOOKUP($A$29&amp;"_"&amp;AC$41,bassins_diff_tri!$B:$H,AC$40,0)</f>
        <v>878.64721390674765</v>
      </c>
      <c r="AD29" s="47">
        <f>VLOOKUP($A$29&amp;"_"&amp;AD$41,bassins_diff_tri!$B:$H,AD$40,0)</f>
        <v>262.0598988406872</v>
      </c>
      <c r="AE29" s="47">
        <f>VLOOKUP($A$29&amp;"_"&amp;AE$41,bassins_diff_tri!$B:$H,AE$40,0)</f>
        <v>243.45159913608975</v>
      </c>
      <c r="AF29" s="36" t="str">
        <f>VLOOKUP($A$29&amp;"_"&amp;AF$41,bassins_diff_tri!$B:$H,AF$40,0)</f>
        <v>Agents de sécurité et de surveillance, enquêteurs privés et métiers assimilés</v>
      </c>
      <c r="AG29" s="47">
        <f>VLOOKUP($A$29&amp;"_"&amp;AG$41,bassins_diff_tri!$B:$H,AG$40,0)</f>
        <v>830.82773469619292</v>
      </c>
      <c r="AH29" s="47">
        <f>VLOOKUP($A$29&amp;"_"&amp;AH$41,bassins_diff_tri!$B:$H,AH$40,0)</f>
        <v>538.45140500433536</v>
      </c>
      <c r="AI29" s="47">
        <f>VLOOKUP($A$29&amp;"_"&amp;AI$41,bassins_diff_tri!$B:$H,AI$40,0)</f>
        <v>110</v>
      </c>
      <c r="AJ29" s="36" t="str">
        <f>VLOOKUP($A$29&amp;"_"&amp;AJ$41,bassins_diff_tri!$B:$H,AJ$40,0)</f>
        <v>Ouvriers non qualifiés de l'emballage et manutentionnaires</v>
      </c>
      <c r="AK29" s="47">
        <f>VLOOKUP($A$29&amp;"_"&amp;AK$41,bassins_diff_tri!$B:$H,AK$40,0)</f>
        <v>741.47642655809511</v>
      </c>
      <c r="AL29" s="47">
        <f>VLOOKUP($A$29&amp;"_"&amp;AL$41,bassins_diff_tri!$B:$H,AL$40,0)</f>
        <v>198.68986762133218</v>
      </c>
      <c r="AM29" s="47">
        <f>VLOOKUP($A$29&amp;"_"&amp;AM$41,bassins_diff_tri!$B:$H,AM$40,0)</f>
        <v>230.77074099136894</v>
      </c>
      <c r="AN29" s="36" t="str">
        <f>VLOOKUP($A$29&amp;"_"&amp;AN$41,bassins_diff_tri!$B:$H,AN$40,0)</f>
        <v>Ingénieurs et cadres d'études, R et D en informatique, chefs de projets informatiques</v>
      </c>
      <c r="AO29" s="47">
        <f>VLOOKUP($A$29&amp;"_"&amp;AO$41,bassins_diff_tri!$B:$H,AO$40,0)</f>
        <v>659.19263587475041</v>
      </c>
      <c r="AP29" s="47">
        <f>VLOOKUP($A$29&amp;"_"&amp;AP$41,bassins_diff_tri!$B:$H,AP$40,0)</f>
        <v>378.80006339016319</v>
      </c>
      <c r="AQ29" s="47">
        <f>VLOOKUP($A$29&amp;"_"&amp;AQ$41,bassins_diff_tri!$B:$H,AQ$40,0)</f>
        <v>0</v>
      </c>
      <c r="AR29" s="36" t="str">
        <f>VLOOKUP($A$29&amp;"_"&amp;AR$41,bassins_diff_tri!$B:$H,AR$40,0)</f>
        <v>Aides, apprentis, employés polyvalents de cuisine (y compris crêpes, pizzas, plonge …)</v>
      </c>
      <c r="AS29" s="47">
        <f>VLOOKUP($A$29&amp;"_"&amp;AS$41,bassins_diff_tri!$B:$H,AS$40,0)</f>
        <v>656.02438125458298</v>
      </c>
      <c r="AT29" s="47">
        <f>VLOOKUP($A$29&amp;"_"&amp;AT$41,bassins_diff_tri!$B:$H,AT$40,0)</f>
        <v>181.01869610684579</v>
      </c>
      <c r="AU29" s="47">
        <f>VLOOKUP($A$29&amp;"_"&amp;AU$41,bassins_diff_tri!$B:$H,AU$40,0)</f>
        <v>130.70760692084178</v>
      </c>
      <c r="AV29" s="36" t="str">
        <f>VLOOKUP($A$29&amp;"_"&amp;AV$41,bassins_diff_tri!$B:$H,AV$40,0)</f>
        <v>Conducteurs et livreurs sur courte distance</v>
      </c>
      <c r="AW29" s="47">
        <f>VLOOKUP($A$29&amp;"_"&amp;AW$41,bassins_diff_tri!$B:$H,AW$40,0)</f>
        <v>633.87065759217114</v>
      </c>
      <c r="AX29" s="47">
        <f>VLOOKUP($A$29&amp;"_"&amp;AX$41,bassins_diff_tri!$B:$H,AX$40,0)</f>
        <v>284.43736646577099</v>
      </c>
      <c r="AY29" s="47">
        <f>VLOOKUP($A$29&amp;"_"&amp;AY$41,bassins_diff_tri!$B:$H,AY$40,0)</f>
        <v>26.74810343521726</v>
      </c>
      <c r="AZ29" s="36" t="str">
        <f>VLOOKUP($A$29&amp;"_"&amp;AZ$41,bassins_diff_tri!$B:$H,AZ$40,0)</f>
        <v>Conducteurs routiers et grands routiers</v>
      </c>
      <c r="BA29" s="47">
        <f>VLOOKUP($A$29&amp;"_"&amp;BA$41,bassins_diff_tri!$B:$H,BA$40,0)</f>
        <v>514.98077685977273</v>
      </c>
      <c r="BB29" s="47">
        <f>VLOOKUP($A$29&amp;"_"&amp;BB$41,bassins_diff_tri!$B:$H,BB$40,0)</f>
        <v>409.24224959522189</v>
      </c>
      <c r="BC29" s="47">
        <f>VLOOKUP($A$29&amp;"_"&amp;BC$41,bassins_diff_tri!$B:$H,BC$40,0)</f>
        <v>149.80634544830579</v>
      </c>
      <c r="BD29" s="36" t="str">
        <f>VLOOKUP($A$29&amp;"_"&amp;BD$41,bassins_diff_tri!$B:$H,BD$40,0)</f>
        <v>Professionnels de l'animation socioculturelle (animateurs et directeurs)</v>
      </c>
      <c r="BE29" s="47">
        <f>VLOOKUP($A$29&amp;"_"&amp;BE$41,bassins_diff_tri!$B:$H,BE$40,0)</f>
        <v>495.46196285914669</v>
      </c>
      <c r="BF29" s="47">
        <f>VLOOKUP($A$29&amp;"_"&amp;BF$41,bassins_diff_tri!$B:$H,BF$40,0)</f>
        <v>71.568643556987254</v>
      </c>
      <c r="BG29" s="47">
        <f>VLOOKUP($A$29&amp;"_"&amp;BG$41,bassins_diff_tri!$B:$H,BG$40,0)</f>
        <v>254.20849384992852</v>
      </c>
      <c r="BH29" s="36" t="str">
        <f>VLOOKUP($A$29&amp;"_"&amp;BH$41,bassins_diff_tri!$B:$H,BH$40,0)</f>
        <v>Agents administratifs divers (saisie, assistanat RH, enquêtes…)</v>
      </c>
      <c r="BI29" s="47">
        <f>VLOOKUP($A$29&amp;"_"&amp;BI$41,bassins_diff_tri!$B:$H,BI$40,0)</f>
        <v>487.29154279414502</v>
      </c>
      <c r="BJ29" s="47">
        <f>VLOOKUP($A$29&amp;"_"&amp;BJ$41,bassins_diff_tri!$B:$H,BJ$40,0)</f>
        <v>86.795671717553049</v>
      </c>
      <c r="BK29" s="47">
        <f>VLOOKUP($A$29&amp;"_"&amp;BK$41,bassins_diff_tri!$B:$H,BK$40,0)</f>
        <v>16.214770355174863</v>
      </c>
      <c r="BL29" s="36" t="str">
        <f>VLOOKUP($A$29&amp;"_"&amp;BL$41,bassins_diff_tri!$B:$H,BL$40,0)</f>
        <v>Agents d'accueil et d'information, standardistes</v>
      </c>
      <c r="BM29" s="47">
        <f>VLOOKUP($A$29&amp;"_"&amp;BM$41,bassins_diff_tri!$B:$H,BM$40,0)</f>
        <v>408.27668402247741</v>
      </c>
      <c r="BN29" s="47">
        <f>VLOOKUP($A$29&amp;"_"&amp;BN$41,bassins_diff_tri!$B:$H,BN$40,0)</f>
        <v>18.325284958846272</v>
      </c>
      <c r="BO29" s="47">
        <f>VLOOKUP($A$29&amp;"_"&amp;BO$41,bassins_diff_tri!$B:$H,BO$40,0)</f>
        <v>15.944847811426136</v>
      </c>
      <c r="BP29" s="47"/>
      <c r="BQ29" s="138">
        <v>133.73652507530275</v>
      </c>
      <c r="BR29" s="138">
        <v>607.50260243576918</v>
      </c>
      <c r="BS29" s="138">
        <v>1545.766978749718</v>
      </c>
      <c r="BT29" s="138">
        <v>3238.9737275861517</v>
      </c>
      <c r="BU29" s="138">
        <v>13103.56733508849</v>
      </c>
      <c r="BV29" s="138">
        <v>1800.5266662067556</v>
      </c>
      <c r="BW29" s="138">
        <v>1358.8873253541831</v>
      </c>
      <c r="BX29" s="138">
        <v>954.71575155719631</v>
      </c>
      <c r="BY29" s="138">
        <v>270.66647324576337</v>
      </c>
      <c r="BZ29" s="138">
        <v>205.40325023967694</v>
      </c>
      <c r="CA29" s="138">
        <v>4294.7060463501011</v>
      </c>
      <c r="CB29" s="138">
        <v>853.76448900759226</v>
      </c>
      <c r="CC29" s="138">
        <v>1852.256779556797</v>
      </c>
      <c r="CD29" s="138">
        <v>1512.6405535704257</v>
      </c>
      <c r="CE29" s="140">
        <f t="shared" si="7"/>
        <v>18629.547168935431</v>
      </c>
      <c r="CF29" s="33">
        <v>2347.4284916109191</v>
      </c>
      <c r="CG29" s="33">
        <v>1731.7461913101511</v>
      </c>
      <c r="CH29" s="33">
        <v>1794.0222008489557</v>
      </c>
      <c r="CI29" s="33">
        <v>1697.087973812372</v>
      </c>
      <c r="CJ29" s="33">
        <v>3018.3922117853135</v>
      </c>
      <c r="CK29" s="33">
        <v>2094.8865958770193</v>
      </c>
      <c r="CL29" s="33">
        <v>1604.3039530839415</v>
      </c>
      <c r="CM29" s="33">
        <v>4341.6795506067592</v>
      </c>
      <c r="CN29" s="34">
        <f t="shared" si="14"/>
        <v>18629.547168935431</v>
      </c>
      <c r="CO29" s="141" t="s">
        <v>43</v>
      </c>
      <c r="CP29" s="141" t="s">
        <v>44</v>
      </c>
      <c r="CQ29" s="141" t="s">
        <v>49</v>
      </c>
      <c r="CR29" s="141" t="s">
        <v>125</v>
      </c>
      <c r="CS29" s="141" t="s">
        <v>128</v>
      </c>
    </row>
    <row r="30" spans="1:97" s="71" customFormat="1" ht="13.5" x14ac:dyDescent="0.2">
      <c r="A30" s="68">
        <v>1137</v>
      </c>
      <c r="B30" s="15" t="s">
        <v>181</v>
      </c>
      <c r="C30" s="118">
        <v>8650.9328920209318</v>
      </c>
      <c r="D30" s="118">
        <v>10008.253305267001</v>
      </c>
      <c r="E30" s="121">
        <f t="shared" si="12"/>
        <v>0.15689873337220939</v>
      </c>
      <c r="F30" s="118">
        <v>3015.992510204851</v>
      </c>
      <c r="G30" s="118">
        <v>4398.8459992009994</v>
      </c>
      <c r="H30" s="121">
        <f t="shared" si="0"/>
        <v>0.45850693737373471</v>
      </c>
      <c r="I30" s="118">
        <v>1688.1655579889291</v>
      </c>
      <c r="J30" s="118">
        <v>828.50853889199993</v>
      </c>
      <c r="K30" s="121">
        <f t="shared" si="1"/>
        <v>-0.50922554072304249</v>
      </c>
      <c r="L30" s="26">
        <v>2544.8374103921201</v>
      </c>
      <c r="M30" s="26">
        <v>2773.3199934675458</v>
      </c>
      <c r="N30" s="27">
        <f t="shared" si="2"/>
        <v>8.9782782248638782E-2</v>
      </c>
      <c r="O30" s="118">
        <v>9258.9999999677839</v>
      </c>
      <c r="P30" s="118">
        <v>9367.9999999660413</v>
      </c>
      <c r="Q30" s="121">
        <f t="shared" si="3"/>
        <v>1.1772329625082234E-2</v>
      </c>
      <c r="R30" s="131">
        <v>2045.5497605501816</v>
      </c>
      <c r="S30" s="131">
        <v>2279.0908413220636</v>
      </c>
      <c r="T30" s="121">
        <f t="shared" si="4"/>
        <v>0.11417032490525547</v>
      </c>
      <c r="U30" s="135">
        <f t="shared" si="15"/>
        <v>0.22092556005586986</v>
      </c>
      <c r="V30" s="135">
        <f t="shared" si="13"/>
        <v>0.24328467563304071</v>
      </c>
      <c r="W30" s="27" t="str">
        <f t="shared" si="5"/>
        <v>2,2 pt(s)</v>
      </c>
      <c r="X30" s="26">
        <v>129011.368792318</v>
      </c>
      <c r="Y30" s="26">
        <v>116800.34735651457</v>
      </c>
      <c r="Z30" s="27">
        <f t="shared" si="6"/>
        <v>-9.4650739311670118E-2</v>
      </c>
      <c r="AA30" s="47" t="s">
        <v>181</v>
      </c>
      <c r="AB30" s="36" t="str">
        <f>VLOOKUP($A$30&amp;"_"&amp;AB$41,bassins_diff_tri!$B:$H,AB$40,0)</f>
        <v>Ingénieurs et cadres d'études, R et D en informatique, chefs de projets informatiques</v>
      </c>
      <c r="AC30" s="47">
        <f>VLOOKUP($A$30&amp;"_"&amp;AC$41,bassins_diff_tri!$B:$H,AC$40,0)</f>
        <v>1058.5967583384413</v>
      </c>
      <c r="AD30" s="47">
        <f>VLOOKUP($A$30&amp;"_"&amp;AD$41,bassins_diff_tri!$B:$H,AD$40,0)</f>
        <v>299.25486852158019</v>
      </c>
      <c r="AE30" s="47">
        <f>VLOOKUP($A$30&amp;"_"&amp;AE$41,bassins_diff_tri!$B:$H,AE$40,0)</f>
        <v>11.905604601644415</v>
      </c>
      <c r="AF30" s="36" t="str">
        <f>VLOOKUP($A$30&amp;"_"&amp;AF$41,bassins_diff_tri!$B:$H,AF$40,0)</f>
        <v>Professionnels de l'animation socioculturelle (animateurs et directeurs)</v>
      </c>
      <c r="AG30" s="47">
        <f>VLOOKUP($A$30&amp;"_"&amp;AG$41,bassins_diff_tri!$B:$H,AG$40,0)</f>
        <v>438.60866703921738</v>
      </c>
      <c r="AH30" s="47">
        <f>VLOOKUP($A$30&amp;"_"&amp;AH$41,bassins_diff_tri!$B:$H,AH$40,0)</f>
        <v>139.14510916876338</v>
      </c>
      <c r="AI30" s="47">
        <f>VLOOKUP($A$30&amp;"_"&amp;AI$41,bassins_diff_tri!$B:$H,AI$40,0)</f>
        <v>79.203530004268814</v>
      </c>
      <c r="AJ30" s="36" t="str">
        <f>VLOOKUP($A$30&amp;"_"&amp;AJ$41,bassins_diff_tri!$B:$H,AJ$40,0)</f>
        <v>Agents d'accueil et d'information, standardistes</v>
      </c>
      <c r="AK30" s="47">
        <f>VLOOKUP($A$30&amp;"_"&amp;AK$41,bassins_diff_tri!$B:$H,AK$40,0)</f>
        <v>345.66611211768503</v>
      </c>
      <c r="AL30" s="47">
        <f>VLOOKUP($A$30&amp;"_"&amp;AL$41,bassins_diff_tri!$B:$H,AL$40,0)</f>
        <v>303.73537486983457</v>
      </c>
      <c r="AM30" s="47">
        <f>VLOOKUP($A$30&amp;"_"&amp;AM$41,bassins_diff_tri!$B:$H,AM$40,0)</f>
        <v>8.7353748698345548</v>
      </c>
      <c r="AN30" s="36" t="str">
        <f>VLOOKUP($A$30&amp;"_"&amp;AN$41,bassins_diff_tri!$B:$H,AN$40,0)</f>
        <v>Aides-soignants (aides médico-psychologiques, auxiliaires de puériculture, assistants médicaux…)</v>
      </c>
      <c r="AO30" s="47">
        <f>VLOOKUP($A$30&amp;"_"&amp;AO$41,bassins_diff_tri!$B:$H,AO$40,0)</f>
        <v>339.00650442515939</v>
      </c>
      <c r="AP30" s="47">
        <f>VLOOKUP($A$30&amp;"_"&amp;AP$41,bassins_diff_tri!$B:$H,AP$40,0)</f>
        <v>181.63822688637256</v>
      </c>
      <c r="AQ30" s="47">
        <f>VLOOKUP($A$30&amp;"_"&amp;AQ$41,bassins_diff_tri!$B:$H,AQ$40,0)</f>
        <v>92.601456246410379</v>
      </c>
      <c r="AR30" s="36" t="str">
        <f>VLOOKUP($A$30&amp;"_"&amp;AR$41,bassins_diff_tri!$B:$H,AR$40,0)</f>
        <v>Employés de libre-service</v>
      </c>
      <c r="AS30" s="47">
        <f>VLOOKUP($A$30&amp;"_"&amp;AS$41,bassins_diff_tri!$B:$H,AS$40,0)</f>
        <v>310.62454591401678</v>
      </c>
      <c r="AT30" s="47">
        <f>VLOOKUP($A$30&amp;"_"&amp;AT$41,bassins_diff_tri!$B:$H,AT$40,0)</f>
        <v>0</v>
      </c>
      <c r="AU30" s="47">
        <f>VLOOKUP($A$30&amp;"_"&amp;AU$41,bassins_diff_tri!$B:$H,AU$40,0)</f>
        <v>25</v>
      </c>
      <c r="AV30" s="36" t="str">
        <f>VLOOKUP($A$30&amp;"_"&amp;AV$41,bassins_diff_tri!$B:$H,AV$40,0)</f>
        <v>Agents d'entretien de locaux (y compris ATSEM)</v>
      </c>
      <c r="AW30" s="47">
        <f>VLOOKUP($A$30&amp;"_"&amp;AW$41,bassins_diff_tri!$B:$H,AW$40,0)</f>
        <v>281.23733884492725</v>
      </c>
      <c r="AX30" s="47">
        <f>VLOOKUP($A$30&amp;"_"&amp;AX$41,bassins_diff_tri!$B:$H,AX$40,0)</f>
        <v>73.996361192706061</v>
      </c>
      <c r="AY30" s="47">
        <f>VLOOKUP($A$30&amp;"_"&amp;AY$41,bassins_diff_tri!$B:$H,AY$40,0)</f>
        <v>60.263426877802388</v>
      </c>
      <c r="AZ30" s="36" t="str">
        <f>VLOOKUP($A$30&amp;"_"&amp;AZ$41,bassins_diff_tri!$B:$H,AZ$40,0)</f>
        <v>Aides, apprentis, employés polyvalents de cuisine (y compris crêpes, pizzas, plonge …)</v>
      </c>
      <c r="BA30" s="47">
        <f>VLOOKUP($A$30&amp;"_"&amp;BA$41,bassins_diff_tri!$B:$H,BA$40,0)</f>
        <v>280.45456209738023</v>
      </c>
      <c r="BB30" s="47">
        <f>VLOOKUP($A$30&amp;"_"&amp;BB$41,bassins_diff_tri!$B:$H,BB$40,0)</f>
        <v>62.857452136618946</v>
      </c>
      <c r="BC30" s="47">
        <f>VLOOKUP($A$30&amp;"_"&amp;BC$41,bassins_diff_tri!$B:$H,BC$40,0)</f>
        <v>0</v>
      </c>
      <c r="BD30" s="36" t="str">
        <f>VLOOKUP($A$30&amp;"_"&amp;BD$41,bassins_diff_tri!$B:$H,BD$40,0)</f>
        <v>Secrétaires bureautiques et assimilés (y compris secrétaires médicales)</v>
      </c>
      <c r="BE30" s="47">
        <f>VLOOKUP($A$30&amp;"_"&amp;BE$41,bassins_diff_tri!$B:$H,BE$40,0)</f>
        <v>278.8904891739794</v>
      </c>
      <c r="BF30" s="47">
        <f>VLOOKUP($A$30&amp;"_"&amp;BF$41,bassins_diff_tri!$B:$H,BF$40,0)</f>
        <v>149.90101683634421</v>
      </c>
      <c r="BG30" s="47">
        <f>VLOOKUP($A$30&amp;"_"&amp;BG$41,bassins_diff_tri!$B:$H,BG$40,0)</f>
        <v>8.7353748698345548</v>
      </c>
      <c r="BH30" s="36" t="str">
        <f>VLOOKUP($A$30&amp;"_"&amp;BH$41,bassins_diff_tri!$B:$H,BH$40,0)</f>
        <v>Artistes, professeurs d'art (musique, danse, spectacles)</v>
      </c>
      <c r="BI30" s="47">
        <f>VLOOKUP($A$30&amp;"_"&amp;BI$41,bassins_diff_tri!$B:$H,BI$40,0)</f>
        <v>273.86335501792109</v>
      </c>
      <c r="BJ30" s="47">
        <f>VLOOKUP($A$30&amp;"_"&amp;BJ$41,bassins_diff_tri!$B:$H,BJ$40,0)</f>
        <v>66.672806255960808</v>
      </c>
      <c r="BK30" s="47">
        <f>VLOOKUP($A$30&amp;"_"&amp;BK$41,bassins_diff_tri!$B:$H,BK$40,0)</f>
        <v>64.013814075911824</v>
      </c>
      <c r="BL30" s="36" t="str">
        <f>VLOOKUP($A$30&amp;"_"&amp;BL$41,bassins_diff_tri!$B:$H,BL$40,0)</f>
        <v>Ingénieurs et cadres d'études, recherche et développement (industrie)</v>
      </c>
      <c r="BM30" s="47">
        <f>VLOOKUP($A$30&amp;"_"&amp;BM$41,bassins_diff_tri!$B:$H,BM$40,0)</f>
        <v>228.67573287196325</v>
      </c>
      <c r="BN30" s="47">
        <f>VLOOKUP($A$30&amp;"_"&amp;BN$41,bassins_diff_tri!$B:$H,BN$40,0)</f>
        <v>163.73233300930025</v>
      </c>
      <c r="BO30" s="47">
        <f>VLOOKUP($A$30&amp;"_"&amp;BO$41,bassins_diff_tri!$B:$H,BO$40,0)</f>
        <v>0</v>
      </c>
      <c r="BP30" s="47"/>
      <c r="BQ30" s="138">
        <v>60.972370054542253</v>
      </c>
      <c r="BR30" s="138">
        <v>325.57478881382536</v>
      </c>
      <c r="BS30" s="138">
        <v>704.11862138704862</v>
      </c>
      <c r="BT30" s="138">
        <v>1015.3895889256091</v>
      </c>
      <c r="BU30" s="138">
        <v>7902.1979360880759</v>
      </c>
      <c r="BV30" s="138">
        <v>351.70753672010039</v>
      </c>
      <c r="BW30" s="138">
        <v>543.48990399299305</v>
      </c>
      <c r="BX30" s="138">
        <v>1771.1442166624263</v>
      </c>
      <c r="BY30" s="138">
        <v>512.06882951328771</v>
      </c>
      <c r="BZ30" s="138">
        <v>125.06777863520962</v>
      </c>
      <c r="CA30" s="138">
        <v>1936.745863336879</v>
      </c>
      <c r="CB30" s="138">
        <v>634.59084486836298</v>
      </c>
      <c r="CC30" s="138">
        <v>1253.5038619250558</v>
      </c>
      <c r="CD30" s="138">
        <v>773.87910043375973</v>
      </c>
      <c r="CE30" s="140">
        <f t="shared" si="7"/>
        <v>10008.253305269101</v>
      </c>
      <c r="CF30" s="33">
        <v>1634.188858419476</v>
      </c>
      <c r="CG30" s="33">
        <v>1154.2842700825975</v>
      </c>
      <c r="CH30" s="33">
        <v>659.87796563531708</v>
      </c>
      <c r="CI30" s="33">
        <v>879.43149623985119</v>
      </c>
      <c r="CJ30" s="33">
        <v>1726.8613973056754</v>
      </c>
      <c r="CK30" s="33">
        <v>984.18053397235531</v>
      </c>
      <c r="CL30" s="33">
        <v>886.40917991882179</v>
      </c>
      <c r="CM30" s="33">
        <v>2083.0196036950065</v>
      </c>
      <c r="CN30" s="34">
        <f t="shared" si="14"/>
        <v>10008.2533052691</v>
      </c>
      <c r="CO30" s="141" t="s">
        <v>125</v>
      </c>
      <c r="CP30" s="141" t="s">
        <v>45</v>
      </c>
      <c r="CQ30" s="141" t="s">
        <v>52</v>
      </c>
      <c r="CR30" s="141" t="s">
        <v>132</v>
      </c>
      <c r="CS30" s="141" t="s">
        <v>55</v>
      </c>
    </row>
    <row r="31" spans="1:97" s="71" customFormat="1" ht="13.5" x14ac:dyDescent="0.2">
      <c r="A31" s="67">
        <v>1138</v>
      </c>
      <c r="B31" s="30" t="s">
        <v>182</v>
      </c>
      <c r="C31" s="118">
        <v>12640.320782858744</v>
      </c>
      <c r="D31" s="118">
        <v>14890.727533679001</v>
      </c>
      <c r="E31" s="121">
        <f t="shared" si="12"/>
        <v>0.17803399055125113</v>
      </c>
      <c r="F31" s="118">
        <v>4900.0533895595909</v>
      </c>
      <c r="G31" s="118">
        <v>6582.83822745</v>
      </c>
      <c r="H31" s="121">
        <f t="shared" si="0"/>
        <v>0.34342173525616526</v>
      </c>
      <c r="I31" s="118">
        <v>2829.3604133155231</v>
      </c>
      <c r="J31" s="118">
        <v>1927.0408423440001</v>
      </c>
      <c r="K31" s="121">
        <f t="shared" si="1"/>
        <v>-0.31891291287070778</v>
      </c>
      <c r="L31" s="26">
        <v>3121.6645723562101</v>
      </c>
      <c r="M31" s="26">
        <v>3918.9283015419032</v>
      </c>
      <c r="N31" s="27">
        <f t="shared" si="2"/>
        <v>0.25539698795502686</v>
      </c>
      <c r="O31" s="118">
        <v>9853.0606734308712</v>
      </c>
      <c r="P31" s="118">
        <v>10247.522113759216</v>
      </c>
      <c r="Q31" s="121">
        <f t="shared" si="3"/>
        <v>4.0034406911958254E-2</v>
      </c>
      <c r="R31" s="131">
        <v>2130.4522551630539</v>
      </c>
      <c r="S31" s="131">
        <v>2387.0296033104814</v>
      </c>
      <c r="T31" s="121">
        <f t="shared" si="4"/>
        <v>0.12043327773510248</v>
      </c>
      <c r="U31" s="135">
        <f t="shared" si="15"/>
        <v>0.21622238264582033</v>
      </c>
      <c r="V31" s="135">
        <f t="shared" si="13"/>
        <v>0.2329372483232261</v>
      </c>
      <c r="W31" s="27" t="str">
        <f t="shared" si="5"/>
        <v>1,7 pt(s)</v>
      </c>
      <c r="X31" s="26">
        <v>177113.50687198201</v>
      </c>
      <c r="Y31" s="26">
        <v>217767.49870531808</v>
      </c>
      <c r="Z31" s="27">
        <f t="shared" si="6"/>
        <v>0.22953637219052325</v>
      </c>
      <c r="AA31" s="47" t="s">
        <v>182</v>
      </c>
      <c r="AB31" s="36" t="str">
        <f>VLOOKUP($A$31&amp;"_"&amp;AB$41,bassins_diff_tri!$B:$H,AB$40,0)</f>
        <v>Agents d'entretien de locaux (y compris ATSEM)</v>
      </c>
      <c r="AC31" s="47">
        <f>VLOOKUP($A$31&amp;"_"&amp;AC$41,bassins_diff_tri!$B:$H,AC$40,0)</f>
        <v>875.01198022329925</v>
      </c>
      <c r="AD31" s="47">
        <f>VLOOKUP($A$31&amp;"_"&amp;AD$41,bassins_diff_tri!$B:$H,AD$40,0)</f>
        <v>256.37719571969546</v>
      </c>
      <c r="AE31" s="47">
        <f>VLOOKUP($A$31&amp;"_"&amp;AE$41,bassins_diff_tri!$B:$H,AE$40,0)</f>
        <v>298.72171370037739</v>
      </c>
      <c r="AF31" s="36" t="str">
        <f>VLOOKUP($A$31&amp;"_"&amp;AF$41,bassins_diff_tri!$B:$H,AF$40,0)</f>
        <v>Professionnels de l'animation socioculturelle (animateurs et directeurs)</v>
      </c>
      <c r="AG31" s="47">
        <f>VLOOKUP($A$31&amp;"_"&amp;AG$41,bassins_diff_tri!$B:$H,AG$40,0)</f>
        <v>840.97508467760815</v>
      </c>
      <c r="AH31" s="47">
        <f>VLOOKUP($A$31&amp;"_"&amp;AH$41,bassins_diff_tri!$B:$H,AH$40,0)</f>
        <v>64.732990650380273</v>
      </c>
      <c r="AI31" s="47">
        <f>VLOOKUP($A$31&amp;"_"&amp;AI$41,bassins_diff_tri!$B:$H,AI$40,0)</f>
        <v>95.287712844394221</v>
      </c>
      <c r="AJ31" s="36" t="str">
        <f>VLOOKUP($A$31&amp;"_"&amp;AJ$41,bassins_diff_tri!$B:$H,AJ$40,0)</f>
        <v>Conducteurs et livreurs sur courte distance</v>
      </c>
      <c r="AK31" s="47">
        <f>VLOOKUP($A$31&amp;"_"&amp;AK$41,bassins_diff_tri!$B:$H,AK$40,0)</f>
        <v>483.62327705722521</v>
      </c>
      <c r="AL31" s="47">
        <f>VLOOKUP($A$31&amp;"_"&amp;AL$41,bassins_diff_tri!$B:$H,AL$40,0)</f>
        <v>267.7431491727657</v>
      </c>
      <c r="AM31" s="47">
        <f>VLOOKUP($A$31&amp;"_"&amp;AM$41,bassins_diff_tri!$B:$H,AM$40,0)</f>
        <v>19.720784061582194</v>
      </c>
      <c r="AN31" s="36" t="str">
        <f>VLOOKUP($A$31&amp;"_"&amp;AN$41,bassins_diff_tri!$B:$H,AN$40,0)</f>
        <v>Ingénieurs et cadres d'études, R et D en informatique, chefs de projets informatiques</v>
      </c>
      <c r="AO31" s="47">
        <f>VLOOKUP($A$31&amp;"_"&amp;AO$41,bassins_diff_tri!$B:$H,AO$40,0)</f>
        <v>446.73680080467841</v>
      </c>
      <c r="AP31" s="47">
        <f>VLOOKUP($A$31&amp;"_"&amp;AP$41,bassins_diff_tri!$B:$H,AP$40,0)</f>
        <v>348.06840661343438</v>
      </c>
      <c r="AQ31" s="47">
        <f>VLOOKUP($A$31&amp;"_"&amp;AQ$41,bassins_diff_tri!$B:$H,AQ$40,0)</f>
        <v>25.348509420159957</v>
      </c>
      <c r="AR31" s="36" t="str">
        <f>VLOOKUP($A$31&amp;"_"&amp;AR$41,bassins_diff_tri!$B:$H,AR$40,0)</f>
        <v>Artistes, professeurs d'art (musique, danse, spectacles)</v>
      </c>
      <c r="AS31" s="47">
        <f>VLOOKUP($A$31&amp;"_"&amp;AS$41,bassins_diff_tri!$B:$H,AS$40,0)</f>
        <v>425.71738781374489</v>
      </c>
      <c r="AT31" s="47">
        <f>VLOOKUP($A$31&amp;"_"&amp;AT$41,bassins_diff_tri!$B:$H,AT$40,0)</f>
        <v>21.186592383784536</v>
      </c>
      <c r="AU31" s="47">
        <f>VLOOKUP($A$31&amp;"_"&amp;AU$41,bassins_diff_tri!$B:$H,AU$40,0)</f>
        <v>140.98606926406958</v>
      </c>
      <c r="AV31" s="36" t="str">
        <f>VLOOKUP($A$31&amp;"_"&amp;AV$41,bassins_diff_tri!$B:$H,AV$40,0)</f>
        <v>Agents d'accueil et d'information, standardistes</v>
      </c>
      <c r="AW31" s="47">
        <f>VLOOKUP($A$31&amp;"_"&amp;AW$41,bassins_diff_tri!$B:$H,AW$40,0)</f>
        <v>394.36519649918006</v>
      </c>
      <c r="AX31" s="47">
        <f>VLOOKUP($A$31&amp;"_"&amp;AX$41,bassins_diff_tri!$B:$H,AX$40,0)</f>
        <v>72.316752385782237</v>
      </c>
      <c r="AY31" s="47">
        <f>VLOOKUP($A$31&amp;"_"&amp;AY$41,bassins_diff_tri!$B:$H,AY$40,0)</f>
        <v>10</v>
      </c>
      <c r="AZ31" s="36" t="str">
        <f>VLOOKUP($A$31&amp;"_"&amp;AZ$41,bassins_diff_tri!$B:$H,AZ$40,0)</f>
        <v>Conducteurs de véhicules légers (conducteurs de taxis, ambulanciers…)</v>
      </c>
      <c r="BA31" s="47">
        <f>VLOOKUP($A$31&amp;"_"&amp;BA$41,bassins_diff_tri!$B:$H,BA$40,0)</f>
        <v>367.94961046221977</v>
      </c>
      <c r="BB31" s="47">
        <f>VLOOKUP($A$31&amp;"_"&amp;BB$41,bassins_diff_tri!$B:$H,BB$40,0)</f>
        <v>235.43774908495303</v>
      </c>
      <c r="BC31" s="47">
        <f>VLOOKUP($A$31&amp;"_"&amp;BC$41,bassins_diff_tri!$B:$H,BC$40,0)</f>
        <v>5.4514839982780092</v>
      </c>
      <c r="BD31" s="36" t="str">
        <f>VLOOKUP($A$31&amp;"_"&amp;BD$41,bassins_diff_tri!$B:$H,BD$40,0)</f>
        <v>Aides-soignants (aides médico-psychologiques, auxiliaires de puériculture, assistants médicaux…)</v>
      </c>
      <c r="BE31" s="47">
        <f>VLOOKUP($A$31&amp;"_"&amp;BE$41,bassins_diff_tri!$B:$H,BE$40,0)</f>
        <v>347.68931779138927</v>
      </c>
      <c r="BF31" s="47">
        <f>VLOOKUP($A$31&amp;"_"&amp;BF$41,bassins_diff_tri!$B:$H,BF$40,0)</f>
        <v>240.0637772670573</v>
      </c>
      <c r="BG31" s="47">
        <f>VLOOKUP($A$31&amp;"_"&amp;BG$41,bassins_diff_tri!$B:$H,BG$40,0)</f>
        <v>3</v>
      </c>
      <c r="BH31" s="36" t="str">
        <f>VLOOKUP($A$31&amp;"_"&amp;BH$41,bassins_diff_tri!$B:$H,BH$40,0)</f>
        <v>Employés de maison et personnels de ménage</v>
      </c>
      <c r="BI31" s="47">
        <f>VLOOKUP($A$31&amp;"_"&amp;BI$41,bassins_diff_tri!$B:$H,BI$40,0)</f>
        <v>346.51262921042809</v>
      </c>
      <c r="BJ31" s="47">
        <f>VLOOKUP($A$31&amp;"_"&amp;BJ$41,bassins_diff_tri!$B:$H,BJ$40,0)</f>
        <v>222.2445895171719</v>
      </c>
      <c r="BK31" s="47">
        <f>VLOOKUP($A$31&amp;"_"&amp;BK$41,bassins_diff_tri!$B:$H,BK$40,0)</f>
        <v>71.336566933273076</v>
      </c>
      <c r="BL31" s="36" t="str">
        <f>VLOOKUP($A$31&amp;"_"&amp;BL$41,bassins_diff_tri!$B:$H,BL$40,0)</f>
        <v>Agents administratifs divers (saisie, assistanat RH, enquêtes…)</v>
      </c>
      <c r="BM31" s="47">
        <f>VLOOKUP($A$31&amp;"_"&amp;BM$41,bassins_diff_tri!$B:$H,BM$40,0)</f>
        <v>338.35192208684111</v>
      </c>
      <c r="BN31" s="47">
        <f>VLOOKUP($A$31&amp;"_"&amp;BN$41,bassins_diff_tri!$B:$H,BN$40,0)</f>
        <v>99.410407823767329</v>
      </c>
      <c r="BO31" s="47">
        <f>VLOOKUP($A$31&amp;"_"&amp;BO$41,bassins_diff_tri!$B:$H,BO$40,0)</f>
        <v>6.9547914333971352</v>
      </c>
      <c r="BP31" s="47"/>
      <c r="BQ31" s="138">
        <v>290.84893052264999</v>
      </c>
      <c r="BR31" s="138">
        <v>821.89463740792974</v>
      </c>
      <c r="BS31" s="138">
        <v>1184.2694662895428</v>
      </c>
      <c r="BT31" s="138">
        <v>1818.5922980134974</v>
      </c>
      <c r="BU31" s="138">
        <v>10775.122201444896</v>
      </c>
      <c r="BV31" s="138">
        <v>869.70803393316135</v>
      </c>
      <c r="BW31" s="138">
        <v>1165.9765597932467</v>
      </c>
      <c r="BX31" s="138">
        <v>990.29478318956581</v>
      </c>
      <c r="BY31" s="138">
        <v>752.49507223933654</v>
      </c>
      <c r="BZ31" s="138">
        <v>209.87628255074705</v>
      </c>
      <c r="CA31" s="138">
        <v>3604.7234491038939</v>
      </c>
      <c r="CB31" s="138">
        <v>531.51632457972346</v>
      </c>
      <c r="CC31" s="138">
        <v>1619.7236774267981</v>
      </c>
      <c r="CD31" s="138">
        <v>1030.8080186284224</v>
      </c>
      <c r="CE31" s="140">
        <f t="shared" si="7"/>
        <v>14890.727533678517</v>
      </c>
      <c r="CF31" s="33">
        <v>2231.2600783399703</v>
      </c>
      <c r="CG31" s="33">
        <v>1645.0610658661772</v>
      </c>
      <c r="CH31" s="33">
        <v>1140.784610422887</v>
      </c>
      <c r="CI31" s="33">
        <v>1184.7740030330565</v>
      </c>
      <c r="CJ31" s="33">
        <v>2584.118361580553</v>
      </c>
      <c r="CK31" s="33">
        <v>1241.9814088183311</v>
      </c>
      <c r="CL31" s="33">
        <v>1962.1634470182562</v>
      </c>
      <c r="CM31" s="33">
        <v>2900.5845585992838</v>
      </c>
      <c r="CN31" s="34">
        <f t="shared" si="14"/>
        <v>14890.727533678517</v>
      </c>
      <c r="CO31" s="141" t="s">
        <v>43</v>
      </c>
      <c r="CP31" s="141" t="s">
        <v>45</v>
      </c>
      <c r="CQ31" s="141" t="s">
        <v>46</v>
      </c>
      <c r="CR31" s="141" t="s">
        <v>125</v>
      </c>
      <c r="CS31" s="141" t="s">
        <v>131</v>
      </c>
    </row>
    <row r="32" spans="1:97" s="71" customFormat="1" ht="13.5" x14ac:dyDescent="0.2">
      <c r="A32" s="67">
        <v>1139</v>
      </c>
      <c r="B32" s="30" t="s">
        <v>183</v>
      </c>
      <c r="C32" s="118">
        <v>16091.008513277982</v>
      </c>
      <c r="D32" s="118">
        <v>17209.775929296004</v>
      </c>
      <c r="E32" s="121">
        <f t="shared" si="12"/>
        <v>6.9527488913751823E-2</v>
      </c>
      <c r="F32" s="118">
        <v>6047.7231422316745</v>
      </c>
      <c r="G32" s="118">
        <v>6815.6081187300006</v>
      </c>
      <c r="H32" s="121">
        <f t="shared" si="0"/>
        <v>0.12697092086377615</v>
      </c>
      <c r="I32" s="118">
        <v>1467.8496954158052</v>
      </c>
      <c r="J32" s="118">
        <v>1576.0109960189998</v>
      </c>
      <c r="K32" s="121">
        <f t="shared" si="1"/>
        <v>7.3686904688531563E-2</v>
      </c>
      <c r="L32" s="26">
        <v>4570.8111566574098</v>
      </c>
      <c r="M32" s="26">
        <v>5804.4421930637309</v>
      </c>
      <c r="N32" s="27">
        <f t="shared" si="2"/>
        <v>0.26989324085496968</v>
      </c>
      <c r="O32" s="118">
        <v>11242.999999786201</v>
      </c>
      <c r="P32" s="118">
        <v>11460.999999823922</v>
      </c>
      <c r="Q32" s="121">
        <f t="shared" si="3"/>
        <v>1.9389842572433258E-2</v>
      </c>
      <c r="R32" s="131">
        <v>2351.0516505417422</v>
      </c>
      <c r="S32" s="131">
        <v>3086.9906497068723</v>
      </c>
      <c r="T32" s="121">
        <f t="shared" si="4"/>
        <v>0.31302544926886267</v>
      </c>
      <c r="U32" s="135">
        <f t="shared" si="15"/>
        <v>0.20911248337511787</v>
      </c>
      <c r="V32" s="135">
        <f t="shared" si="13"/>
        <v>0.26934740858165068</v>
      </c>
      <c r="W32" s="27" t="str">
        <f t="shared" si="5"/>
        <v>6 pt(s)</v>
      </c>
      <c r="X32" s="26">
        <v>182101.55217980701</v>
      </c>
      <c r="Y32" s="26">
        <v>215866.57379092078</v>
      </c>
      <c r="Z32" s="27">
        <f t="shared" si="6"/>
        <v>0.18541863705683403</v>
      </c>
      <c r="AA32" s="47" t="s">
        <v>183</v>
      </c>
      <c r="AB32" s="36" t="str">
        <f>VLOOKUP($A$32&amp;"_"&amp;AB$41,bassins_diff_tri!$B:$H,AB$40,0)</f>
        <v>Ingénieurs et cadres d'études, R et D en informatique, chefs de projets informatiques</v>
      </c>
      <c r="AC32" s="47">
        <f>VLOOKUP($A$32&amp;"_"&amp;AC$41,bassins_diff_tri!$B:$H,AC$40,0)</f>
        <v>2541.8629284615572</v>
      </c>
      <c r="AD32" s="47">
        <f>VLOOKUP($A$32&amp;"_"&amp;AD$41,bassins_diff_tri!$B:$H,AD$40,0)</f>
        <v>1699.5476957172577</v>
      </c>
      <c r="AE32" s="47">
        <f>VLOOKUP($A$32&amp;"_"&amp;AE$41,bassins_diff_tri!$B:$H,AE$40,0)</f>
        <v>39.716880445783389</v>
      </c>
      <c r="AF32" s="36" t="str">
        <f>VLOOKUP($A$32&amp;"_"&amp;AF$41,bassins_diff_tri!$B:$H,AF$40,0)</f>
        <v>Agents administratifs divers (saisie, assistanat RH, enquêtes…)</v>
      </c>
      <c r="AG32" s="47">
        <f>VLOOKUP($A$32&amp;"_"&amp;AG$41,bassins_diff_tri!$B:$H,AG$40,0)</f>
        <v>1199.9677784912037</v>
      </c>
      <c r="AH32" s="47">
        <f>VLOOKUP($A$32&amp;"_"&amp;AH$41,bassins_diff_tri!$B:$H,AH$40,0)</f>
        <v>72.233541545760446</v>
      </c>
      <c r="AI32" s="47">
        <f>VLOOKUP($A$32&amp;"_"&amp;AI$41,bassins_diff_tri!$B:$H,AI$40,0)</f>
        <v>300</v>
      </c>
      <c r="AJ32" s="36" t="str">
        <f>VLOOKUP($A$32&amp;"_"&amp;AJ$41,bassins_diff_tri!$B:$H,AJ$40,0)</f>
        <v>Artistes, professeurs d'art (musique, danse, spectacles)</v>
      </c>
      <c r="AK32" s="47">
        <f>VLOOKUP($A$32&amp;"_"&amp;AK$41,bassins_diff_tri!$B:$H,AK$40,0)</f>
        <v>680.85574972340078</v>
      </c>
      <c r="AL32" s="47">
        <f>VLOOKUP($A$32&amp;"_"&amp;AL$41,bassins_diff_tri!$B:$H,AL$40,0)</f>
        <v>54.925959302377507</v>
      </c>
      <c r="AM32" s="47">
        <f>VLOOKUP($A$32&amp;"_"&amp;AM$41,bassins_diff_tri!$B:$H,AM$40,0)</f>
        <v>104.37945716605002</v>
      </c>
      <c r="AN32" s="36" t="str">
        <f>VLOOKUP($A$32&amp;"_"&amp;AN$41,bassins_diff_tri!$B:$H,AN$40,0)</f>
        <v>Ingénieurs et cadres d'études, recherche et développement (industrie)</v>
      </c>
      <c r="AO32" s="47">
        <f>VLOOKUP($A$32&amp;"_"&amp;AO$41,bassins_diff_tri!$B:$H,AO$40,0)</f>
        <v>625.08723017293266</v>
      </c>
      <c r="AP32" s="47">
        <f>VLOOKUP($A$32&amp;"_"&amp;AP$41,bassins_diff_tri!$B:$H,AP$40,0)</f>
        <v>324.12425783868861</v>
      </c>
      <c r="AQ32" s="47">
        <f>VLOOKUP($A$32&amp;"_"&amp;AQ$41,bassins_diff_tri!$B:$H,AQ$40,0)</f>
        <v>6.6194800742972308</v>
      </c>
      <c r="AR32" s="36" t="str">
        <f>VLOOKUP($A$32&amp;"_"&amp;AR$41,bassins_diff_tri!$B:$H,AR$40,0)</f>
        <v>Ingénieurs et cadres technico-commerciaux</v>
      </c>
      <c r="AS32" s="47">
        <f>VLOOKUP($A$32&amp;"_"&amp;AS$41,bassins_diff_tri!$B:$H,AS$40,0)</f>
        <v>597.53045229168583</v>
      </c>
      <c r="AT32" s="47">
        <f>VLOOKUP($A$32&amp;"_"&amp;AT$41,bassins_diff_tri!$B:$H,AT$40,0)</f>
        <v>272.90349582809625</v>
      </c>
      <c r="AU32" s="47">
        <f>VLOOKUP($A$32&amp;"_"&amp;AU$41,bassins_diff_tri!$B:$H,AU$40,0)</f>
        <v>0</v>
      </c>
      <c r="AV32" s="36" t="str">
        <f>VLOOKUP($A$32&amp;"_"&amp;AV$41,bassins_diff_tri!$B:$H,AV$40,0)</f>
        <v>Techniciens de production et d'exploitation (installation, maintenance, support…) de systèmes d'information</v>
      </c>
      <c r="AW32" s="47">
        <f>VLOOKUP($A$32&amp;"_"&amp;AW$41,bassins_diff_tri!$B:$H,AW$40,0)</f>
        <v>551.89618520627664</v>
      </c>
      <c r="AX32" s="47">
        <f>VLOOKUP($A$32&amp;"_"&amp;AX$41,bassins_diff_tri!$B:$H,AX$40,0)</f>
        <v>189.3610455031754</v>
      </c>
      <c r="AY32" s="47">
        <f>VLOOKUP($A$32&amp;"_"&amp;AY$41,bassins_diff_tri!$B:$H,AY$40,0)</f>
        <v>0</v>
      </c>
      <c r="AZ32" s="36" t="str">
        <f>VLOOKUP($A$32&amp;"_"&amp;AZ$41,bassins_diff_tri!$B:$H,AZ$40,0)</f>
        <v>Commerciaux (techniciens commerciaux en entreprise)</v>
      </c>
      <c r="BA32" s="47">
        <f>VLOOKUP($A$32&amp;"_"&amp;BA$41,bassins_diff_tri!$B:$H,BA$40,0)</f>
        <v>502.59428489260267</v>
      </c>
      <c r="BB32" s="47">
        <f>VLOOKUP($A$32&amp;"_"&amp;BB$41,bassins_diff_tri!$B:$H,BB$40,0)</f>
        <v>110.85863387468777</v>
      </c>
      <c r="BC32" s="47">
        <f>VLOOKUP($A$32&amp;"_"&amp;BC$41,bassins_diff_tri!$B:$H,BC$40,0)</f>
        <v>115.47966471402434</v>
      </c>
      <c r="BD32" s="36" t="str">
        <f>VLOOKUP($A$32&amp;"_"&amp;BD$41,bassins_diff_tri!$B:$H,BD$40,0)</f>
        <v>Techniciens d'études et de développ. en informatique (y compris webmasters, programmeurs…)</v>
      </c>
      <c r="BE32" s="47">
        <f>VLOOKUP($A$32&amp;"_"&amp;BE$41,bassins_diff_tri!$B:$H,BE$40,0)</f>
        <v>494.9407171912701</v>
      </c>
      <c r="BF32" s="47">
        <f>VLOOKUP($A$32&amp;"_"&amp;BF$41,bassins_diff_tri!$B:$H,BF$40,0)</f>
        <v>120.97640145936224</v>
      </c>
      <c r="BG32" s="47">
        <f>VLOOKUP($A$32&amp;"_"&amp;BG$41,bassins_diff_tri!$B:$H,BG$40,0)</f>
        <v>0</v>
      </c>
      <c r="BH32" s="36" t="str">
        <f>VLOOKUP($A$32&amp;"_"&amp;BH$41,bassins_diff_tri!$B:$H,BH$40,0)</f>
        <v>Assistantes maternelles</v>
      </c>
      <c r="BI32" s="47">
        <f>VLOOKUP($A$32&amp;"_"&amp;BI$41,bassins_diff_tri!$B:$H,BI$40,0)</f>
        <v>466</v>
      </c>
      <c r="BJ32" s="47">
        <f>VLOOKUP($A$32&amp;"_"&amp;BJ$41,bassins_diff_tri!$B:$H,BJ$40,0)</f>
        <v>80</v>
      </c>
      <c r="BK32" s="47">
        <f>VLOOKUP($A$32&amp;"_"&amp;BK$41,bassins_diff_tri!$B:$H,BK$40,0)</f>
        <v>0</v>
      </c>
      <c r="BL32" s="36" t="str">
        <f>VLOOKUP($A$32&amp;"_"&amp;BL$41,bassins_diff_tri!$B:$H,BL$40,0)</f>
        <v>Employés de libre-service</v>
      </c>
      <c r="BM32" s="47">
        <f>VLOOKUP($A$32&amp;"_"&amp;BM$41,bassins_diff_tri!$B:$H,BM$40,0)</f>
        <v>416.8561188177008</v>
      </c>
      <c r="BN32" s="47">
        <f>VLOOKUP($A$32&amp;"_"&amp;BN$41,bassins_diff_tri!$B:$H,BN$40,0)</f>
        <v>41.224964895260101</v>
      </c>
      <c r="BO32" s="47">
        <f>VLOOKUP($A$32&amp;"_"&amp;BO$41,bassins_diff_tri!$B:$H,BO$40,0)</f>
        <v>88.238960148594458</v>
      </c>
      <c r="BP32" s="47"/>
      <c r="BQ32" s="138">
        <v>244.52512190089112</v>
      </c>
      <c r="BR32" s="138">
        <v>136.74826058330771</v>
      </c>
      <c r="BS32" s="138">
        <v>771.07649245359312</v>
      </c>
      <c r="BT32" s="138">
        <v>1640.112043248776</v>
      </c>
      <c r="BU32" s="138">
        <v>14417.314011113185</v>
      </c>
      <c r="BV32" s="138">
        <v>461.99989978379324</v>
      </c>
      <c r="BW32" s="138">
        <v>862.77242672246928</v>
      </c>
      <c r="BX32" s="138">
        <v>6017.5886345504205</v>
      </c>
      <c r="BY32" s="138">
        <v>273.56668555060253</v>
      </c>
      <c r="BZ32" s="138">
        <v>192.84293579784244</v>
      </c>
      <c r="CA32" s="138">
        <v>3472.2552404574485</v>
      </c>
      <c r="CB32" s="138">
        <v>615.42809821246578</v>
      </c>
      <c r="CC32" s="138">
        <v>1505.044819828971</v>
      </c>
      <c r="CD32" s="138">
        <v>1015.8152702091741</v>
      </c>
      <c r="CE32" s="140">
        <f t="shared" si="7"/>
        <v>17209.775929299754</v>
      </c>
      <c r="CF32" s="33">
        <v>2190.403976378434</v>
      </c>
      <c r="CG32" s="33">
        <v>1615.9839422526525</v>
      </c>
      <c r="CH32" s="33">
        <v>1385.9038272184976</v>
      </c>
      <c r="CI32" s="33">
        <v>1308.0105463501318</v>
      </c>
      <c r="CJ32" s="33">
        <v>2141.801921447835</v>
      </c>
      <c r="CK32" s="33">
        <v>1554.632674411482</v>
      </c>
      <c r="CL32" s="33">
        <v>1978.3017193680885</v>
      </c>
      <c r="CM32" s="33">
        <v>5034.7373218726325</v>
      </c>
      <c r="CN32" s="34">
        <f t="shared" si="14"/>
        <v>17209.775929299754</v>
      </c>
      <c r="CO32" s="141" t="s">
        <v>125</v>
      </c>
      <c r="CP32" s="141" t="s">
        <v>48</v>
      </c>
      <c r="CQ32" s="141" t="s">
        <v>131</v>
      </c>
      <c r="CR32" s="141" t="s">
        <v>126</v>
      </c>
      <c r="CS32" s="141" t="s">
        <v>86</v>
      </c>
    </row>
    <row r="33" spans="1:120" s="71" customFormat="1" ht="12.75" customHeight="1" x14ac:dyDescent="0.2">
      <c r="A33" s="68">
        <v>1146</v>
      </c>
      <c r="B33" s="15" t="s">
        <v>184</v>
      </c>
      <c r="C33" s="118">
        <v>30153.028333842478</v>
      </c>
      <c r="D33" s="118">
        <v>37058.023937083002</v>
      </c>
      <c r="E33" s="121">
        <f t="shared" si="12"/>
        <v>0.22899841192702519</v>
      </c>
      <c r="F33" s="118">
        <v>10156.654282226358</v>
      </c>
      <c r="G33" s="118">
        <v>16042.181553935998</v>
      </c>
      <c r="H33" s="121">
        <f t="shared" si="0"/>
        <v>0.57947500310304156</v>
      </c>
      <c r="I33" s="118">
        <v>2508.536904115685</v>
      </c>
      <c r="J33" s="118">
        <v>3092.2376968079998</v>
      </c>
      <c r="K33" s="121">
        <f t="shared" si="1"/>
        <v>0.23268575069980169</v>
      </c>
      <c r="L33" s="26">
        <v>9336.8820452319596</v>
      </c>
      <c r="M33" s="26">
        <v>9128.9596330958339</v>
      </c>
      <c r="N33" s="27">
        <f t="shared" si="2"/>
        <v>-2.2268934225457504E-2</v>
      </c>
      <c r="O33" s="118">
        <v>21764.999999643984</v>
      </c>
      <c r="P33" s="118">
        <v>22213.999999673746</v>
      </c>
      <c r="Q33" s="121">
        <f t="shared" si="3"/>
        <v>2.0629450955070405E-2</v>
      </c>
      <c r="R33" s="131">
        <v>4642.4918313322341</v>
      </c>
      <c r="S33" s="131">
        <v>6022.9404882100607</v>
      </c>
      <c r="T33" s="121">
        <f t="shared" si="4"/>
        <v>0.29735079931884023</v>
      </c>
      <c r="U33" s="135">
        <f t="shared" si="15"/>
        <v>0.21330079629718229</v>
      </c>
      <c r="V33" s="135">
        <f t="shared" si="13"/>
        <v>0.27113264105062207</v>
      </c>
      <c r="W33" s="27" t="str">
        <f t="shared" si="5"/>
        <v>5,8 pt(s)</v>
      </c>
      <c r="X33" s="26">
        <v>522653.96391231503</v>
      </c>
      <c r="Y33" s="26">
        <v>521682.50047717476</v>
      </c>
      <c r="Z33" s="27">
        <f t="shared" si="6"/>
        <v>-1.8587124602832406E-3</v>
      </c>
      <c r="AA33" s="47" t="s">
        <v>184</v>
      </c>
      <c r="AB33" s="36" t="str">
        <f>VLOOKUP($A$33&amp;"_"&amp;AB$41,bassins_diff_tri!$B:$H,AB$40,0)</f>
        <v>Ingénieurs et cadres d'études, R et D en informatique, chefs de projets informatiques</v>
      </c>
      <c r="AC33" s="47">
        <f>VLOOKUP($A$33&amp;"_"&amp;AC$41,bassins_diff_tri!$B:$H,AC$40,0)</f>
        <v>4915.4751995320612</v>
      </c>
      <c r="AD33" s="47">
        <f>VLOOKUP($A$33&amp;"_"&amp;AD$41,bassins_diff_tri!$B:$H,AD$40,0)</f>
        <v>2464.5239204223872</v>
      </c>
      <c r="AE33" s="47">
        <f>VLOOKUP($A$33&amp;"_"&amp;AE$41,bassins_diff_tri!$B:$H,AE$40,0)</f>
        <v>14.371139174531146</v>
      </c>
      <c r="AF33" s="36" t="str">
        <f>VLOOKUP($A$33&amp;"_"&amp;AF$41,bassins_diff_tri!$B:$H,AF$40,0)</f>
        <v>Cadres administratifs, comptables et financiers (hors juristes)</v>
      </c>
      <c r="AG33" s="47">
        <f>VLOOKUP($A$33&amp;"_"&amp;AG$41,bassins_diff_tri!$B:$H,AG$40,0)</f>
        <v>2561.8470233998587</v>
      </c>
      <c r="AH33" s="47">
        <f>VLOOKUP($A$33&amp;"_"&amp;AH$41,bassins_diff_tri!$B:$H,AH$40,0)</f>
        <v>1511.7001903299708</v>
      </c>
      <c r="AI33" s="47">
        <f>VLOOKUP($A$33&amp;"_"&amp;AI$41,bassins_diff_tri!$B:$H,AI$40,0)</f>
        <v>6.4354248996585026</v>
      </c>
      <c r="AJ33" s="36" t="str">
        <f>VLOOKUP($A$33&amp;"_"&amp;AJ$41,bassins_diff_tri!$B:$H,AJ$40,0)</f>
        <v>Employés de la banque et des assurances</v>
      </c>
      <c r="AK33" s="47">
        <f>VLOOKUP($A$33&amp;"_"&amp;AK$41,bassins_diff_tri!$B:$H,AK$40,0)</f>
        <v>1501.7558385389909</v>
      </c>
      <c r="AL33" s="47">
        <f>VLOOKUP($A$33&amp;"_"&amp;AL$41,bassins_diff_tri!$B:$H,AL$40,0)</f>
        <v>313.66114273096071</v>
      </c>
      <c r="AM33" s="47">
        <f>VLOOKUP($A$33&amp;"_"&amp;AM$41,bassins_diff_tri!$B:$H,AM$40,0)</f>
        <v>5</v>
      </c>
      <c r="AN33" s="36" t="str">
        <f>VLOOKUP($A$33&amp;"_"&amp;AN$41,bassins_diff_tri!$B:$H,AN$40,0)</f>
        <v>Agents d'entretien de locaux (y compris ATSEM)</v>
      </c>
      <c r="AO33" s="47">
        <f>VLOOKUP($A$33&amp;"_"&amp;AO$41,bassins_diff_tri!$B:$H,AO$40,0)</f>
        <v>1359.3637330925444</v>
      </c>
      <c r="AP33" s="47">
        <f>VLOOKUP($A$33&amp;"_"&amp;AP$41,bassins_diff_tri!$B:$H,AP$40,0)</f>
        <v>347.22276333466471</v>
      </c>
      <c r="AQ33" s="47">
        <f>VLOOKUP($A$33&amp;"_"&amp;AQ$41,bassins_diff_tri!$B:$H,AQ$40,0)</f>
        <v>533.71231991779212</v>
      </c>
      <c r="AR33" s="36" t="str">
        <f>VLOOKUP($A$33&amp;"_"&amp;AR$41,bassins_diff_tri!$B:$H,AR$40,0)</f>
        <v>Employés et opérateurs de l'informatique</v>
      </c>
      <c r="AS33" s="47">
        <f>VLOOKUP($A$33&amp;"_"&amp;AS$41,bassins_diff_tri!$B:$H,AS$40,0)</f>
        <v>1166.8744888859724</v>
      </c>
      <c r="AT33" s="47">
        <f>VLOOKUP($A$33&amp;"_"&amp;AT$41,bassins_diff_tri!$B:$H,AT$40,0)</f>
        <v>768.99426586568552</v>
      </c>
      <c r="AU33" s="47">
        <f>VLOOKUP($A$33&amp;"_"&amp;AU$41,bassins_diff_tri!$B:$H,AU$40,0)</f>
        <v>10</v>
      </c>
      <c r="AV33" s="36" t="str">
        <f>VLOOKUP($A$33&amp;"_"&amp;AV$41,bassins_diff_tri!$B:$H,AV$40,0)</f>
        <v>Ingénieurs et cadres technico-commerciaux</v>
      </c>
      <c r="AW33" s="47">
        <f>VLOOKUP($A$33&amp;"_"&amp;AW$41,bassins_diff_tri!$B:$H,AW$40,0)</f>
        <v>1130.6765172277505</v>
      </c>
      <c r="AX33" s="47">
        <f>VLOOKUP($A$33&amp;"_"&amp;AX$41,bassins_diff_tri!$B:$H,AX$40,0)</f>
        <v>361.11530390808775</v>
      </c>
      <c r="AY33" s="47">
        <f>VLOOKUP($A$33&amp;"_"&amp;AY$41,bassins_diff_tri!$B:$H,AY$40,0)</f>
        <v>14.896569048354877</v>
      </c>
      <c r="AZ33" s="36" t="str">
        <f>VLOOKUP($A$33&amp;"_"&amp;AZ$41,bassins_diff_tri!$B:$H,AZ$40,0)</f>
        <v>Agents administratifs divers (saisie, assistanat RH, enquêtes…)</v>
      </c>
      <c r="BA33" s="47">
        <f>VLOOKUP($A$33&amp;"_"&amp;BA$41,bassins_diff_tri!$B:$H,BA$40,0)</f>
        <v>1051.2677996825287</v>
      </c>
      <c r="BB33" s="47">
        <f>VLOOKUP($A$33&amp;"_"&amp;BB$41,bassins_diff_tri!$B:$H,BB$40,0)</f>
        <v>74.142026187063124</v>
      </c>
      <c r="BC33" s="47">
        <f>VLOOKUP($A$33&amp;"_"&amp;BC$41,bassins_diff_tri!$B:$H,BC$40,0)</f>
        <v>71.857054497385718</v>
      </c>
      <c r="BD33" s="36" t="str">
        <f>VLOOKUP($A$33&amp;"_"&amp;BD$41,bassins_diff_tri!$B:$H,BD$40,0)</f>
        <v>Ingénieurs et cadres d'études, recherche et développement (industrie)</v>
      </c>
      <c r="BE33" s="47">
        <f>VLOOKUP($A$33&amp;"_"&amp;BE$41,bassins_diff_tri!$B:$H,BE$40,0)</f>
        <v>932.3265550729609</v>
      </c>
      <c r="BF33" s="47">
        <f>VLOOKUP($A$33&amp;"_"&amp;BF$41,bassins_diff_tri!$B:$H,BF$40,0)</f>
        <v>657.57639579087231</v>
      </c>
      <c r="BG33" s="47">
        <f>VLOOKUP($A$33&amp;"_"&amp;BG$41,bassins_diff_tri!$B:$H,BG$40,0)</f>
        <v>0</v>
      </c>
      <c r="BH33" s="36" t="str">
        <f>VLOOKUP($A$33&amp;"_"&amp;BH$41,bassins_diff_tri!$B:$H,BH$40,0)</f>
        <v>Commerciaux (techniciens commerciaux en entreprise)</v>
      </c>
      <c r="BI33" s="47">
        <f>VLOOKUP($A$33&amp;"_"&amp;BI$41,bassins_diff_tri!$B:$H,BI$40,0)</f>
        <v>911.29864138850735</v>
      </c>
      <c r="BJ33" s="47">
        <f>VLOOKUP($A$33&amp;"_"&amp;BJ$41,bassins_diff_tri!$B:$H,BJ$40,0)</f>
        <v>412.55293847021159</v>
      </c>
      <c r="BK33" s="47">
        <f>VLOOKUP($A$33&amp;"_"&amp;BK$41,bassins_diff_tri!$B:$H,BK$40,0)</f>
        <v>56.702585905084455</v>
      </c>
      <c r="BL33" s="36" t="str">
        <f>VLOOKUP($A$33&amp;"_"&amp;BL$41,bassins_diff_tri!$B:$H,BL$40,0)</f>
        <v>Employés de la comptabilité</v>
      </c>
      <c r="BM33" s="47">
        <f>VLOOKUP($A$33&amp;"_"&amp;BM$41,bassins_diff_tri!$B:$H,BM$40,0)</f>
        <v>878.38368955884175</v>
      </c>
      <c r="BN33" s="47">
        <f>VLOOKUP($A$33&amp;"_"&amp;BN$41,bassins_diff_tri!$B:$H,BN$40,0)</f>
        <v>101.35241974492519</v>
      </c>
      <c r="BO33" s="47">
        <f>VLOOKUP($A$33&amp;"_"&amp;BO$41,bassins_diff_tri!$B:$H,BO$40,0)</f>
        <v>14.001677272892943</v>
      </c>
      <c r="BP33" s="47"/>
      <c r="BQ33" s="138">
        <v>199.29217344116165</v>
      </c>
      <c r="BR33" s="138">
        <v>1112.0544532677359</v>
      </c>
      <c r="BS33" s="138">
        <v>1004.4196074493376</v>
      </c>
      <c r="BT33" s="138">
        <v>3167.2765558976271</v>
      </c>
      <c r="BU33" s="138">
        <v>31574.981147024235</v>
      </c>
      <c r="BV33" s="138">
        <v>512.81407054186036</v>
      </c>
      <c r="BW33" s="138">
        <v>2009.2771813842492</v>
      </c>
      <c r="BX33" s="138">
        <v>7594.4048378831476</v>
      </c>
      <c r="BY33" s="138">
        <v>3066.5491784375399</v>
      </c>
      <c r="BZ33" s="138">
        <v>346.5883318889388</v>
      </c>
      <c r="CA33" s="138">
        <v>12662.681122198079</v>
      </c>
      <c r="CB33" s="138">
        <v>1285.8815851562117</v>
      </c>
      <c r="CC33" s="138">
        <v>2860.3886611161652</v>
      </c>
      <c r="CD33" s="138">
        <v>1236.3961784180419</v>
      </c>
      <c r="CE33" s="140">
        <f t="shared" si="7"/>
        <v>37058.023937080099</v>
      </c>
      <c r="CF33" s="33">
        <v>3455.6184495320722</v>
      </c>
      <c r="CG33" s="33">
        <v>2674.8807753538458</v>
      </c>
      <c r="CH33" s="33">
        <v>1816.9963490956038</v>
      </c>
      <c r="CI33" s="33">
        <v>3299.2842365775132</v>
      </c>
      <c r="CJ33" s="33">
        <v>4498.368071857416</v>
      </c>
      <c r="CK33" s="33">
        <v>3590.4271299125653</v>
      </c>
      <c r="CL33" s="33">
        <v>4531.7878385079885</v>
      </c>
      <c r="CM33" s="33">
        <v>13190.661086243088</v>
      </c>
      <c r="CN33" s="34">
        <f t="shared" si="14"/>
        <v>37058.023937080092</v>
      </c>
      <c r="CO33" s="141" t="s">
        <v>125</v>
      </c>
      <c r="CP33" s="141" t="s">
        <v>47</v>
      </c>
      <c r="CQ33" s="141" t="s">
        <v>194</v>
      </c>
      <c r="CR33" s="141" t="s">
        <v>43</v>
      </c>
      <c r="CS33" s="141" t="s">
        <v>227</v>
      </c>
    </row>
    <row r="34" spans="1:120" s="71" customFormat="1" ht="13.5" x14ac:dyDescent="0.2">
      <c r="A34" s="68">
        <v>1147</v>
      </c>
      <c r="B34" s="15" t="s">
        <v>185</v>
      </c>
      <c r="C34" s="118">
        <v>8529.6952336283193</v>
      </c>
      <c r="D34" s="118">
        <v>10809.543533337001</v>
      </c>
      <c r="E34" s="121">
        <f t="shared" si="12"/>
        <v>0.26728367629365946</v>
      </c>
      <c r="F34" s="118">
        <v>2790.6273247349036</v>
      </c>
      <c r="G34" s="118">
        <v>4624.1652670970007</v>
      </c>
      <c r="H34" s="121">
        <f t="shared" si="0"/>
        <v>0.65703432561933872</v>
      </c>
      <c r="I34" s="118">
        <v>1305.6988553124841</v>
      </c>
      <c r="J34" s="118">
        <v>1550.171502642</v>
      </c>
      <c r="K34" s="121">
        <f t="shared" si="1"/>
        <v>0.18723509355532664</v>
      </c>
      <c r="L34" s="26">
        <v>2431.4449483639301</v>
      </c>
      <c r="M34" s="26">
        <v>2536.6117481595797</v>
      </c>
      <c r="N34" s="27">
        <f t="shared" si="2"/>
        <v>4.3252799067655001E-2</v>
      </c>
      <c r="O34" s="118">
        <v>14343.999999765922</v>
      </c>
      <c r="P34" s="118">
        <v>14682.999999974221</v>
      </c>
      <c r="Q34" s="121">
        <f t="shared" si="3"/>
        <v>2.3633575028850551E-2</v>
      </c>
      <c r="R34" s="131">
        <v>2504.8098200065037</v>
      </c>
      <c r="S34" s="131">
        <v>3068.881405504274</v>
      </c>
      <c r="T34" s="121">
        <f t="shared" si="4"/>
        <v>0.22519537451202809</v>
      </c>
      <c r="U34" s="135">
        <f t="shared" si="15"/>
        <v>0.17462422058333654</v>
      </c>
      <c r="V34" s="135">
        <f t="shared" si="13"/>
        <v>0.20900915381799781</v>
      </c>
      <c r="W34" s="27" t="str">
        <f t="shared" si="5"/>
        <v>3,4 pt(s)</v>
      </c>
      <c r="X34" s="26">
        <v>189695.82647100399</v>
      </c>
      <c r="Y34" s="26">
        <v>173371.23079936893</v>
      </c>
      <c r="Z34" s="27">
        <f t="shared" si="6"/>
        <v>-8.6056693894266401E-2</v>
      </c>
      <c r="AA34" s="47" t="s">
        <v>185</v>
      </c>
      <c r="AB34" s="36" t="str">
        <f>VLOOKUP($A$34&amp;"_"&amp;AB$41,bassins_diff_tri!$B:$H,AB$40,0)</f>
        <v>Artistes, professeurs d'art (musique, danse, spectacles)</v>
      </c>
      <c r="AC34" s="47">
        <f>VLOOKUP($A$34&amp;"_"&amp;AC$41,bassins_diff_tri!$B:$H,AC$40,0)</f>
        <v>844.60044791797873</v>
      </c>
      <c r="AD34" s="47">
        <f>VLOOKUP($A$34&amp;"_"&amp;AD$41,bassins_diff_tri!$B:$H,AD$40,0)</f>
        <v>0</v>
      </c>
      <c r="AE34" s="47">
        <f>VLOOKUP($A$34&amp;"_"&amp;AE$41,bassins_diff_tri!$B:$H,AE$40,0)</f>
        <v>203.2707350880591</v>
      </c>
      <c r="AF34" s="36" t="str">
        <f>VLOOKUP($A$34&amp;"_"&amp;AF$41,bassins_diff_tri!$B:$H,AF$40,0)</f>
        <v>Agents d'entretien de locaux (y compris ATSEM)</v>
      </c>
      <c r="AG34" s="47">
        <f>VLOOKUP($A$34&amp;"_"&amp;AG$41,bassins_diff_tri!$B:$H,AG$40,0)</f>
        <v>552.5302547064091</v>
      </c>
      <c r="AH34" s="47">
        <f>VLOOKUP($A$34&amp;"_"&amp;AH$41,bassins_diff_tri!$B:$H,AH$40,0)</f>
        <v>421.2728623950851</v>
      </c>
      <c r="AI34" s="47">
        <f>VLOOKUP($A$34&amp;"_"&amp;AI$41,bassins_diff_tri!$B:$H,AI$40,0)</f>
        <v>52.119824329981576</v>
      </c>
      <c r="AJ34" s="36" t="str">
        <f>VLOOKUP($A$34&amp;"_"&amp;AJ$41,bassins_diff_tri!$B:$H,AJ$40,0)</f>
        <v>Professionnels de l'animation socioculturelle (animateurs et directeurs)</v>
      </c>
      <c r="AK34" s="47">
        <f>VLOOKUP($A$34&amp;"_"&amp;AK$41,bassins_diff_tri!$B:$H,AK$40,0)</f>
        <v>437.79619069715523</v>
      </c>
      <c r="AL34" s="47">
        <f>VLOOKUP($A$34&amp;"_"&amp;AL$41,bassins_diff_tri!$B:$H,AL$40,0)</f>
        <v>140.48869292276495</v>
      </c>
      <c r="AM34" s="47">
        <f>VLOOKUP($A$34&amp;"_"&amp;AM$41,bassins_diff_tri!$B:$H,AM$40,0)</f>
        <v>402.43148485374525</v>
      </c>
      <c r="AN34" s="36" t="str">
        <f>VLOOKUP($A$34&amp;"_"&amp;AN$41,bassins_diff_tri!$B:$H,AN$40,0)</f>
        <v>Aides, apprentis, employés polyvalents de cuisine (y compris crêpes, pizzas, plonge …)</v>
      </c>
      <c r="AO34" s="47">
        <f>VLOOKUP($A$34&amp;"_"&amp;AO$41,bassins_diff_tri!$B:$H,AO$40,0)</f>
        <v>425.93080652858873</v>
      </c>
      <c r="AP34" s="47">
        <f>VLOOKUP($A$34&amp;"_"&amp;AP$41,bassins_diff_tri!$B:$H,AP$40,0)</f>
        <v>206.05250146948532</v>
      </c>
      <c r="AQ34" s="47">
        <f>VLOOKUP($A$34&amp;"_"&amp;AQ$41,bassins_diff_tri!$B:$H,AQ$40,0)</f>
        <v>45.894234915072531</v>
      </c>
      <c r="AR34" s="36" t="str">
        <f>VLOOKUP($A$34&amp;"_"&amp;AR$41,bassins_diff_tri!$B:$H,AR$40,0)</f>
        <v>Conducteurs et livreurs sur courte distance</v>
      </c>
      <c r="AS34" s="47">
        <f>VLOOKUP($A$34&amp;"_"&amp;AS$41,bassins_diff_tri!$B:$H,AS$40,0)</f>
        <v>380.02015497456512</v>
      </c>
      <c r="AT34" s="47">
        <f>VLOOKUP($A$34&amp;"_"&amp;AT$41,bassins_diff_tri!$B:$H,AT$40,0)</f>
        <v>169.09382067659581</v>
      </c>
      <c r="AU34" s="47">
        <f>VLOOKUP($A$34&amp;"_"&amp;AU$41,bassins_diff_tri!$B:$H,AU$40,0)</f>
        <v>40.993062043290358</v>
      </c>
      <c r="AV34" s="36" t="str">
        <f>VLOOKUP($A$34&amp;"_"&amp;AV$41,bassins_diff_tri!$B:$H,AV$40,0)</f>
        <v>Ingénieurs et cadres d'études, R et D en informatique, chefs de projets informatiques</v>
      </c>
      <c r="AW34" s="47">
        <f>VLOOKUP($A$34&amp;"_"&amp;AW$41,bassins_diff_tri!$B:$H,AW$40,0)</f>
        <v>289.90766066688218</v>
      </c>
      <c r="AX34" s="47">
        <f>VLOOKUP($A$34&amp;"_"&amp;AX$41,bassins_diff_tri!$B:$H,AX$40,0)</f>
        <v>267.28218424195586</v>
      </c>
      <c r="AY34" s="47">
        <f>VLOOKUP($A$34&amp;"_"&amp;AY$41,bassins_diff_tri!$B:$H,AY$40,0)</f>
        <v>13.615847270323853</v>
      </c>
      <c r="AZ34" s="36" t="str">
        <f>VLOOKUP($A$34&amp;"_"&amp;AZ$41,bassins_diff_tri!$B:$H,AZ$40,0)</f>
        <v>Secrétaires bureautiques et assimilés (y compris secrétaires médicales)</v>
      </c>
      <c r="BA34" s="47">
        <f>VLOOKUP($A$34&amp;"_"&amp;BA$41,bassins_diff_tri!$B:$H,BA$40,0)</f>
        <v>280.02784199853772</v>
      </c>
      <c r="BB34" s="47">
        <f>VLOOKUP($A$34&amp;"_"&amp;BB$41,bassins_diff_tri!$B:$H,BB$40,0)</f>
        <v>113.23493317391959</v>
      </c>
      <c r="BC34" s="47">
        <f>VLOOKUP($A$34&amp;"_"&amp;BC$41,bassins_diff_tri!$B:$H,BC$40,0)</f>
        <v>34.699219258980122</v>
      </c>
      <c r="BD34" s="36" t="str">
        <f>VLOOKUP($A$34&amp;"_"&amp;BD$41,bassins_diff_tri!$B:$H,BD$40,0)</f>
        <v>Ouvriers non qualifiés du second œuvre du bâtiment</v>
      </c>
      <c r="BE34" s="47">
        <f>VLOOKUP($A$34&amp;"_"&amp;BE$41,bassins_diff_tri!$B:$H,BE$40,0)</f>
        <v>273.14322067819046</v>
      </c>
      <c r="BF34" s="47">
        <f>VLOOKUP($A$34&amp;"_"&amp;BF$41,bassins_diff_tri!$B:$H,BF$40,0)</f>
        <v>101.25359372074782</v>
      </c>
      <c r="BG34" s="47">
        <f>VLOOKUP($A$34&amp;"_"&amp;BG$41,bassins_diff_tri!$B:$H,BG$40,0)</f>
        <v>48.00725027032928</v>
      </c>
      <c r="BH34" s="36" t="str">
        <f>VLOOKUP($A$34&amp;"_"&amp;BH$41,bassins_diff_tri!$B:$H,BH$40,0)</f>
        <v>Commerciaux (techniciens commerciaux en entreprise)</v>
      </c>
      <c r="BI34" s="47">
        <f>VLOOKUP($A$34&amp;"_"&amp;BI$41,bassins_diff_tri!$B:$H,BI$40,0)</f>
        <v>255.81038058934075</v>
      </c>
      <c r="BJ34" s="47">
        <f>VLOOKUP($A$34&amp;"_"&amp;BJ$41,bassins_diff_tri!$B:$H,BJ$40,0)</f>
        <v>162.10883212055131</v>
      </c>
      <c r="BK34" s="47">
        <f>VLOOKUP($A$34&amp;"_"&amp;BK$41,bassins_diff_tri!$B:$H,BK$40,0)</f>
        <v>5.5953712596898324</v>
      </c>
      <c r="BL34" s="36" t="str">
        <f>VLOOKUP($A$34&amp;"_"&amp;BL$41,bassins_diff_tri!$B:$H,BL$40,0)</f>
        <v>Conducteurs routiers et grands routiers</v>
      </c>
      <c r="BM34" s="47">
        <f>VLOOKUP($A$34&amp;"_"&amp;BM$41,bassins_diff_tri!$B:$H,BM$40,0)</f>
        <v>255.78437777186636</v>
      </c>
      <c r="BN34" s="47">
        <f>VLOOKUP($A$34&amp;"_"&amp;BN$41,bassins_diff_tri!$B:$H,BN$40,0)</f>
        <v>115.91547704958641</v>
      </c>
      <c r="BO34" s="47">
        <f>VLOOKUP($A$34&amp;"_"&amp;BO$41,bassins_diff_tri!$B:$H,BO$40,0)</f>
        <v>13.745613799978772</v>
      </c>
      <c r="BP34" s="47"/>
      <c r="BQ34" s="138">
        <v>130.29958173436739</v>
      </c>
      <c r="BR34" s="138">
        <v>374.56828858940344</v>
      </c>
      <c r="BS34" s="138">
        <v>1231.081831008398</v>
      </c>
      <c r="BT34" s="138">
        <v>1176.1973308161191</v>
      </c>
      <c r="BU34" s="138">
        <v>7897.3965011839218</v>
      </c>
      <c r="BV34" s="138">
        <v>798.93498612138922</v>
      </c>
      <c r="BW34" s="138">
        <v>1073.7343083084249</v>
      </c>
      <c r="BX34" s="138">
        <v>1102.785233605613</v>
      </c>
      <c r="BY34" s="138">
        <v>233.56147131061672</v>
      </c>
      <c r="BZ34" s="138">
        <v>82.76990090568961</v>
      </c>
      <c r="CA34" s="138">
        <v>1917.3540411176409</v>
      </c>
      <c r="CB34" s="138">
        <v>768.26535775226296</v>
      </c>
      <c r="CC34" s="138">
        <v>904.24169741395644</v>
      </c>
      <c r="CD34" s="138">
        <v>1015.7495046483283</v>
      </c>
      <c r="CE34" s="140">
        <f t="shared" si="7"/>
        <v>10809.543533332209</v>
      </c>
      <c r="CF34" s="33">
        <v>2283.7136129348637</v>
      </c>
      <c r="CG34" s="33">
        <v>1589.0825874999637</v>
      </c>
      <c r="CH34" s="33">
        <v>626.12661298606849</v>
      </c>
      <c r="CI34" s="33">
        <v>1754.7208782487605</v>
      </c>
      <c r="CJ34" s="33">
        <v>1387.9826765735945</v>
      </c>
      <c r="CK34" s="33">
        <v>823.7481248398143</v>
      </c>
      <c r="CL34" s="33">
        <v>643.22374880601524</v>
      </c>
      <c r="CM34" s="33">
        <v>1700.9452914431304</v>
      </c>
      <c r="CN34" s="34">
        <f t="shared" si="14"/>
        <v>10809.543533332209</v>
      </c>
      <c r="CO34" s="141" t="s">
        <v>131</v>
      </c>
      <c r="CP34" s="141" t="s">
        <v>43</v>
      </c>
      <c r="CQ34" s="141" t="s">
        <v>45</v>
      </c>
      <c r="CR34" s="141" t="s">
        <v>128</v>
      </c>
      <c r="CS34" s="141" t="s">
        <v>46</v>
      </c>
    </row>
    <row r="35" spans="1:120" s="71" customFormat="1" ht="13.5" x14ac:dyDescent="0.2">
      <c r="A35" s="3">
        <v>1148</v>
      </c>
      <c r="B35" s="15" t="s">
        <v>186</v>
      </c>
      <c r="C35" s="118">
        <v>9134.6747344008436</v>
      </c>
      <c r="D35" s="118">
        <v>11368.377027049999</v>
      </c>
      <c r="E35" s="121">
        <f t="shared" si="12"/>
        <v>0.24453003063558643</v>
      </c>
      <c r="F35" s="118">
        <v>2649.6882783965425</v>
      </c>
      <c r="G35" s="118">
        <v>3685.9576112280006</v>
      </c>
      <c r="H35" s="121">
        <f t="shared" si="0"/>
        <v>0.3910910356061037</v>
      </c>
      <c r="I35" s="118">
        <v>1492.7415819224586</v>
      </c>
      <c r="J35" s="118">
        <v>1775.3809856219998</v>
      </c>
      <c r="K35" s="121">
        <f t="shared" si="1"/>
        <v>0.18934248708710721</v>
      </c>
      <c r="L35" s="26">
        <v>2273.1906058433601</v>
      </c>
      <c r="M35" s="26">
        <v>2456.4368828299689</v>
      </c>
      <c r="N35" s="27">
        <f t="shared" si="2"/>
        <v>8.061192779679982E-2</v>
      </c>
      <c r="O35" s="118">
        <v>13743.999999563537</v>
      </c>
      <c r="P35" s="118">
        <v>14020.999999894588</v>
      </c>
      <c r="Q35" s="121">
        <f t="shared" si="3"/>
        <v>2.0154249151618675E-2</v>
      </c>
      <c r="R35" s="131">
        <v>2549.5940151364425</v>
      </c>
      <c r="S35" s="131">
        <v>3122.0977258218304</v>
      </c>
      <c r="T35" s="121">
        <f t="shared" si="4"/>
        <v>0.22454700916559456</v>
      </c>
      <c r="U35" s="135">
        <f t="shared" si="15"/>
        <v>0.18550596734701755</v>
      </c>
      <c r="V35" s="135">
        <f t="shared" si="13"/>
        <v>0.22267297096108002</v>
      </c>
      <c r="W35" s="27" t="str">
        <f t="shared" si="5"/>
        <v>3,7 pt(s)</v>
      </c>
      <c r="X35" s="26">
        <v>159079.11389087999</v>
      </c>
      <c r="Y35" s="26">
        <v>154117.5941270139</v>
      </c>
      <c r="Z35" s="27">
        <f t="shared" si="6"/>
        <v>-3.1189008050858447E-2</v>
      </c>
      <c r="AA35" s="47" t="s">
        <v>186</v>
      </c>
      <c r="AB35" s="36" t="str">
        <f>VLOOKUP($A$35&amp;"_"&amp;AB$41,bassins_diff_tri!$B:$H,AB$40,0)</f>
        <v>Artistes, professeurs d'art (musique, danse, spectacles)</v>
      </c>
      <c r="AC35" s="47">
        <f>VLOOKUP($A$35&amp;"_"&amp;AC$41,bassins_diff_tri!$B:$H,AC$40,0)</f>
        <v>2189.4040398622406</v>
      </c>
      <c r="AD35" s="47">
        <f>VLOOKUP($A$35&amp;"_"&amp;AD$41,bassins_diff_tri!$B:$H,AD$40,0)</f>
        <v>49.636092355250511</v>
      </c>
      <c r="AE35" s="47">
        <f>VLOOKUP($A$35&amp;"_"&amp;AE$41,bassins_diff_tri!$B:$H,AE$40,0)</f>
        <v>375.00399464727252</v>
      </c>
      <c r="AF35" s="36" t="str">
        <f>VLOOKUP($A$35&amp;"_"&amp;AF$41,bassins_diff_tri!$B:$H,AF$40,0)</f>
        <v>Agents d'entretien de locaux (y compris ATSEM)</v>
      </c>
      <c r="AG35" s="47">
        <f>VLOOKUP($A$35&amp;"_"&amp;AG$41,bassins_diff_tri!$B:$H,AG$40,0)</f>
        <v>525.59077894346058</v>
      </c>
      <c r="AH35" s="47">
        <f>VLOOKUP($A$35&amp;"_"&amp;AH$41,bassins_diff_tri!$B:$H,AH$40,0)</f>
        <v>259.93531331555681</v>
      </c>
      <c r="AI35" s="47">
        <f>VLOOKUP($A$35&amp;"_"&amp;AI$41,bassins_diff_tri!$B:$H,AI$40,0)</f>
        <v>88.621295472979497</v>
      </c>
      <c r="AJ35" s="36" t="str">
        <f>VLOOKUP($A$35&amp;"_"&amp;AJ$41,bassins_diff_tri!$B:$H,AJ$40,0)</f>
        <v>Professionnels des spectacles</v>
      </c>
      <c r="AK35" s="47">
        <f>VLOOKUP($A$35&amp;"_"&amp;AK$41,bassins_diff_tri!$B:$H,AK$40,0)</f>
        <v>438.39089879415724</v>
      </c>
      <c r="AL35" s="47">
        <f>VLOOKUP($A$35&amp;"_"&amp;AL$41,bassins_diff_tri!$B:$H,AL$40,0)</f>
        <v>96.135228687086922</v>
      </c>
      <c r="AM35" s="47">
        <f>VLOOKUP($A$35&amp;"_"&amp;AM$41,bassins_diff_tri!$B:$H,AM$40,0)</f>
        <v>215.60938159787628</v>
      </c>
      <c r="AN35" s="36" t="str">
        <f>VLOOKUP($A$35&amp;"_"&amp;AN$41,bassins_diff_tri!$B:$H,AN$40,0)</f>
        <v>Ouvriers non qualifiés du second œuvre du bâtiment</v>
      </c>
      <c r="AO35" s="47">
        <f>VLOOKUP($A$35&amp;"_"&amp;AO$41,bassins_diff_tri!$B:$H,AO$40,0)</f>
        <v>335.4866586415514</v>
      </c>
      <c r="AP35" s="47">
        <f>VLOOKUP($A$35&amp;"_"&amp;AP$41,bassins_diff_tri!$B:$H,AP$40,0)</f>
        <v>93.489813970021643</v>
      </c>
      <c r="AQ35" s="47">
        <f>VLOOKUP($A$35&amp;"_"&amp;AQ$41,bassins_diff_tri!$B:$H,AQ$40,0)</f>
        <v>33.472558035374405</v>
      </c>
      <c r="AR35" s="36" t="str">
        <f>VLOOKUP($A$35&amp;"_"&amp;AR$41,bassins_diff_tri!$B:$H,AR$40,0)</f>
        <v>Aides-soignants (aides médico-psychologiques, auxiliaires de puériculture, assistants médicaux…)</v>
      </c>
      <c r="AS35" s="47">
        <f>VLOOKUP($A$35&amp;"_"&amp;AS$41,bassins_diff_tri!$B:$H,AS$40,0)</f>
        <v>318.55242943089377</v>
      </c>
      <c r="AT35" s="47">
        <f>VLOOKUP($A$35&amp;"_"&amp;AT$41,bassins_diff_tri!$B:$H,AT$40,0)</f>
        <v>77.718846008170829</v>
      </c>
      <c r="AU35" s="47">
        <f>VLOOKUP($A$35&amp;"_"&amp;AU$41,bassins_diff_tri!$B:$H,AU$40,0)</f>
        <v>27.470150105446507</v>
      </c>
      <c r="AV35" s="36" t="str">
        <f>VLOOKUP($A$35&amp;"_"&amp;AV$41,bassins_diff_tri!$B:$H,AV$40,0)</f>
        <v>Agents administratifs divers (saisie, assistanat RH, enquêtes…)</v>
      </c>
      <c r="AW35" s="47">
        <f>VLOOKUP($A$35&amp;"_"&amp;AW$41,bassins_diff_tri!$B:$H,AW$40,0)</f>
        <v>268.29750574185579</v>
      </c>
      <c r="AX35" s="47">
        <f>VLOOKUP($A$35&amp;"_"&amp;AX$41,bassins_diff_tri!$B:$H,AX$40,0)</f>
        <v>52.094637819551849</v>
      </c>
      <c r="AY35" s="47">
        <f>VLOOKUP($A$35&amp;"_"&amp;AY$41,bassins_diff_tri!$B:$H,AY$40,0)</f>
        <v>70.247571977657657</v>
      </c>
      <c r="AZ35" s="36" t="str">
        <f>VLOOKUP($A$35&amp;"_"&amp;AZ$41,bassins_diff_tri!$B:$H,AZ$40,0)</f>
        <v>Secrétaires bureautiques et assimilés (y compris secrétaires médicales)</v>
      </c>
      <c r="BA35" s="47">
        <f>VLOOKUP($A$35&amp;"_"&amp;BA$41,bassins_diff_tri!$B:$H,BA$40,0)</f>
        <v>258.82686784497247</v>
      </c>
      <c r="BB35" s="47">
        <f>VLOOKUP($A$35&amp;"_"&amp;BB$41,bassins_diff_tri!$B:$H,BB$40,0)</f>
        <v>83.710456231450252</v>
      </c>
      <c r="BC35" s="47">
        <f>VLOOKUP($A$35&amp;"_"&amp;BC$41,bassins_diff_tri!$B:$H,BC$40,0)</f>
        <v>3.6091625133078313</v>
      </c>
      <c r="BD35" s="36" t="str">
        <f>VLOOKUP($A$35&amp;"_"&amp;BD$41,bassins_diff_tri!$B:$H,BD$40,0)</f>
        <v>Ouvriers non qualifiés de l'emballage et manutentionnaires</v>
      </c>
      <c r="BE35" s="47">
        <f>VLOOKUP($A$35&amp;"_"&amp;BE$41,bassins_diff_tri!$B:$H,BE$40,0)</f>
        <v>243.51464406617936</v>
      </c>
      <c r="BF35" s="47">
        <f>VLOOKUP($A$35&amp;"_"&amp;BF$41,bassins_diff_tri!$B:$H,BF$40,0)</f>
        <v>145.50790664145609</v>
      </c>
      <c r="BG35" s="47">
        <f>VLOOKUP($A$35&amp;"_"&amp;BG$41,bassins_diff_tri!$B:$H,BG$40,0)</f>
        <v>50.965816206675036</v>
      </c>
      <c r="BH35" s="36" t="str">
        <f>VLOOKUP($A$35&amp;"_"&amp;BH$41,bassins_diff_tri!$B:$H,BH$40,0)</f>
        <v>Aides à domicile, aides ménagères, travailleuses familiales</v>
      </c>
      <c r="BI35" s="47">
        <f>VLOOKUP($A$35&amp;"_"&amp;BI$41,bassins_diff_tri!$B:$H,BI$40,0)</f>
        <v>236.88832696890546</v>
      </c>
      <c r="BJ35" s="47">
        <f>VLOOKUP($A$35&amp;"_"&amp;BJ$41,bassins_diff_tri!$B:$H,BJ$40,0)</f>
        <v>145.28867800216261</v>
      </c>
      <c r="BK35" s="47">
        <f>VLOOKUP($A$35&amp;"_"&amp;BK$41,bassins_diff_tri!$B:$H,BK$40,0)</f>
        <v>39.629235874048987</v>
      </c>
      <c r="BL35" s="36" t="str">
        <f>VLOOKUP($A$35&amp;"_"&amp;BL$41,bassins_diff_tri!$B:$H,BL$40,0)</f>
        <v>Employés de libre-service</v>
      </c>
      <c r="BM35" s="47">
        <f>VLOOKUP($A$35&amp;"_"&amp;BM$41,bassins_diff_tri!$B:$H,BM$40,0)</f>
        <v>233.92147264716024</v>
      </c>
      <c r="BN35" s="47">
        <f>VLOOKUP($A$35&amp;"_"&amp;BN$41,bassins_diff_tri!$B:$H,BN$40,0)</f>
        <v>21.115190722664334</v>
      </c>
      <c r="BO35" s="47">
        <f>VLOOKUP($A$35&amp;"_"&amp;BO$41,bassins_diff_tri!$B:$H,BO$40,0)</f>
        <v>20.631625973101777</v>
      </c>
      <c r="BP35" s="47"/>
      <c r="BQ35" s="138">
        <v>113.46309653716631</v>
      </c>
      <c r="BR35" s="138">
        <v>281.77322947952564</v>
      </c>
      <c r="BS35" s="138">
        <v>1410.6096244158196</v>
      </c>
      <c r="BT35" s="138">
        <v>1116.7142362294821</v>
      </c>
      <c r="BU35" s="138">
        <v>8445.8168403905984</v>
      </c>
      <c r="BV35" s="138">
        <v>619.96035107354123</v>
      </c>
      <c r="BW35" s="138">
        <v>534.57659077958567</v>
      </c>
      <c r="BX35" s="138">
        <v>694.46729062128577</v>
      </c>
      <c r="BY35" s="138">
        <v>123.74373087404813</v>
      </c>
      <c r="BZ35" s="138">
        <v>143.59742363896913</v>
      </c>
      <c r="CA35" s="138">
        <v>1600.3755518024855</v>
      </c>
      <c r="CB35" s="138">
        <v>637.93406976513006</v>
      </c>
      <c r="CC35" s="138">
        <v>1216.739569075834</v>
      </c>
      <c r="CD35" s="138">
        <v>2874.4222627597178</v>
      </c>
      <c r="CE35" s="140">
        <f t="shared" si="7"/>
        <v>11368.377027052593</v>
      </c>
      <c r="CF35" s="33">
        <v>2821.2819899517553</v>
      </c>
      <c r="CG35" s="33">
        <v>2790.6658594988376</v>
      </c>
      <c r="CH35" s="33">
        <v>1204.393135541389</v>
      </c>
      <c r="CI35" s="33">
        <v>831.86327165345847</v>
      </c>
      <c r="CJ35" s="33">
        <v>1326.3952427769793</v>
      </c>
      <c r="CK35" s="33">
        <v>882.83016393879632</v>
      </c>
      <c r="CL35" s="33">
        <v>863.3134396495268</v>
      </c>
      <c r="CM35" s="33">
        <v>647.63392404184947</v>
      </c>
      <c r="CN35" s="34">
        <f t="shared" si="14"/>
        <v>11368.377027052591</v>
      </c>
      <c r="CO35" s="141" t="s">
        <v>131</v>
      </c>
      <c r="CP35" s="141" t="s">
        <v>43</v>
      </c>
      <c r="CQ35" s="141" t="s">
        <v>51</v>
      </c>
      <c r="CR35" s="141" t="s">
        <v>133</v>
      </c>
      <c r="CS35" s="141" t="s">
        <v>132</v>
      </c>
    </row>
    <row r="36" spans="1:120" s="71" customFormat="1" ht="13.5" x14ac:dyDescent="0.2">
      <c r="A36" s="3">
        <v>1149</v>
      </c>
      <c r="B36" s="15" t="s">
        <v>187</v>
      </c>
      <c r="C36" s="118">
        <v>6393.0647162548757</v>
      </c>
      <c r="D36" s="118">
        <v>7021.345890171001</v>
      </c>
      <c r="E36" s="121">
        <f t="shared" si="12"/>
        <v>9.827542842146908E-2</v>
      </c>
      <c r="F36" s="118">
        <v>2476.6630244964144</v>
      </c>
      <c r="G36" s="118">
        <v>3013.6668939199999</v>
      </c>
      <c r="H36" s="121">
        <f t="shared" si="0"/>
        <v>0.21682556896603877</v>
      </c>
      <c r="I36" s="118">
        <v>848.49687075611382</v>
      </c>
      <c r="J36" s="118">
        <v>1138.1246811999999</v>
      </c>
      <c r="K36" s="121">
        <f t="shared" si="1"/>
        <v>0.34134222579488416</v>
      </c>
      <c r="L36" s="26">
        <v>1810.1054695463199</v>
      </c>
      <c r="M36" s="26">
        <v>2323.0530379589236</v>
      </c>
      <c r="N36" s="27">
        <f t="shared" si="2"/>
        <v>0.28337993395554317</v>
      </c>
      <c r="O36" s="118">
        <v>9896.0000003044843</v>
      </c>
      <c r="P36" s="118">
        <v>10114.00000012324</v>
      </c>
      <c r="Q36" s="121">
        <f t="shared" si="3"/>
        <v>2.2029102648751797E-2</v>
      </c>
      <c r="R36" s="131">
        <v>1821.1935766038346</v>
      </c>
      <c r="S36" s="131">
        <v>2269.6887777034153</v>
      </c>
      <c r="T36" s="121">
        <f t="shared" si="4"/>
        <v>0.24626443166790413</v>
      </c>
      <c r="U36" s="135">
        <f t="shared" si="15"/>
        <v>0.18403330401655207</v>
      </c>
      <c r="V36" s="135">
        <f t="shared" si="13"/>
        <v>0.22441059696220675</v>
      </c>
      <c r="W36" s="27" t="str">
        <f t="shared" si="5"/>
        <v>4 pt(s)</v>
      </c>
      <c r="X36" s="26">
        <v>98609.823745059606</v>
      </c>
      <c r="Y36" s="26">
        <v>93175.699374722739</v>
      </c>
      <c r="Z36" s="27">
        <f t="shared" si="6"/>
        <v>-5.5107332758102756E-2</v>
      </c>
      <c r="AA36" s="47" t="s">
        <v>187</v>
      </c>
      <c r="AB36" s="36" t="str">
        <f>VLOOKUP($A$36&amp;"_"&amp;AB$41,bassins_diff_tri!$B:$H,AB$40,0)</f>
        <v>Professionnels de l'animation socioculturelle (animateurs et directeurs)</v>
      </c>
      <c r="AC36" s="47">
        <f>VLOOKUP($A$36&amp;"_"&amp;AC$41,bassins_diff_tri!$B:$H,AC$40,0)</f>
        <v>337.92272343211727</v>
      </c>
      <c r="AD36" s="47">
        <f>VLOOKUP($A$36&amp;"_"&amp;AD$41,bassins_diff_tri!$B:$H,AD$40,0)</f>
        <v>36.653570950898398</v>
      </c>
      <c r="AE36" s="47">
        <f>VLOOKUP($A$36&amp;"_"&amp;AE$41,bassins_diff_tri!$B:$H,AE$40,0)</f>
        <v>176.51862703692117</v>
      </c>
      <c r="AF36" s="36" t="str">
        <f>VLOOKUP($A$36&amp;"_"&amp;AF$41,bassins_diff_tri!$B:$H,AF$40,0)</f>
        <v>Aides à domicile, aides ménagères, travailleuses familiales</v>
      </c>
      <c r="AG36" s="47">
        <f>VLOOKUP($A$36&amp;"_"&amp;AG$41,bassins_diff_tri!$B:$H,AG$40,0)</f>
        <v>271.01087107673652</v>
      </c>
      <c r="AH36" s="47">
        <f>VLOOKUP($A$36&amp;"_"&amp;AH$41,bassins_diff_tri!$B:$H,AH$40,0)</f>
        <v>191.27664690316323</v>
      </c>
      <c r="AI36" s="47">
        <f>VLOOKUP($A$36&amp;"_"&amp;AI$41,bassins_diff_tri!$B:$H,AI$40,0)</f>
        <v>22.004318935002068</v>
      </c>
      <c r="AJ36" s="36" t="str">
        <f>VLOOKUP($A$36&amp;"_"&amp;AJ$41,bassins_diff_tri!$B:$H,AJ$40,0)</f>
        <v>Employés de la comptabilité</v>
      </c>
      <c r="AK36" s="47">
        <f>VLOOKUP($A$36&amp;"_"&amp;AK$41,bassins_diff_tri!$B:$H,AK$40,0)</f>
        <v>239.99692981199576</v>
      </c>
      <c r="AL36" s="47">
        <f>VLOOKUP($A$36&amp;"_"&amp;AL$41,bassins_diff_tri!$B:$H,AL$40,0)</f>
        <v>56.26672876271271</v>
      </c>
      <c r="AM36" s="47">
        <f>VLOOKUP($A$36&amp;"_"&amp;AM$41,bassins_diff_tri!$B:$H,AM$40,0)</f>
        <v>0</v>
      </c>
      <c r="AN36" s="36" t="str">
        <f>VLOOKUP($A$36&amp;"_"&amp;AN$41,bassins_diff_tri!$B:$H,AN$40,0)</f>
        <v>Aides, apprentis, employés polyvalents de cuisine (y compris crêpes, pizzas, plonge …)</v>
      </c>
      <c r="AO36" s="47">
        <f>VLOOKUP($A$36&amp;"_"&amp;AO$41,bassins_diff_tri!$B:$H,AO$40,0)</f>
        <v>218.52589963225293</v>
      </c>
      <c r="AP36" s="47">
        <f>VLOOKUP($A$36&amp;"_"&amp;AP$41,bassins_diff_tri!$B:$H,AP$40,0)</f>
        <v>116.56967423005831</v>
      </c>
      <c r="AQ36" s="47">
        <f>VLOOKUP($A$36&amp;"_"&amp;AQ$41,bassins_diff_tri!$B:$H,AQ$40,0)</f>
        <v>71.23413333280088</v>
      </c>
      <c r="AR36" s="36" t="str">
        <f>VLOOKUP($A$36&amp;"_"&amp;AR$41,bassins_diff_tri!$B:$H,AR$40,0)</f>
        <v>Ouvriers non qualifiés du second œuvre du bâtiment</v>
      </c>
      <c r="AS36" s="47">
        <f>VLOOKUP($A$36&amp;"_"&amp;AS$41,bassins_diff_tri!$B:$H,AS$40,0)</f>
        <v>195.34651889176718</v>
      </c>
      <c r="AT36" s="47">
        <f>VLOOKUP($A$36&amp;"_"&amp;AT$41,bassins_diff_tri!$B:$H,AT$40,0)</f>
        <v>62.172221352976109</v>
      </c>
      <c r="AU36" s="47">
        <f>VLOOKUP($A$36&amp;"_"&amp;AU$41,bassins_diff_tri!$B:$H,AU$40,0)</f>
        <v>51.949846528710019</v>
      </c>
      <c r="AV36" s="36" t="str">
        <f>VLOOKUP($A$36&amp;"_"&amp;AV$41,bassins_diff_tri!$B:$H,AV$40,0)</f>
        <v>Professionnels des spectacles</v>
      </c>
      <c r="AW36" s="47">
        <f>VLOOKUP($A$36&amp;"_"&amp;AW$41,bassins_diff_tri!$B:$H,AW$40,0)</f>
        <v>176.68093169907374</v>
      </c>
      <c r="AX36" s="47">
        <f>VLOOKUP($A$36&amp;"_"&amp;AX$41,bassins_diff_tri!$B:$H,AX$40,0)</f>
        <v>54.413439122526782</v>
      </c>
      <c r="AY36" s="47">
        <f>VLOOKUP($A$36&amp;"_"&amp;AY$41,bassins_diff_tri!$B:$H,AY$40,0)</f>
        <v>55.970254527239682</v>
      </c>
      <c r="AZ36" s="36" t="str">
        <f>VLOOKUP($A$36&amp;"_"&amp;AZ$41,bassins_diff_tri!$B:$H,AZ$40,0)</f>
        <v>Conducteurs et livreurs sur courte distance</v>
      </c>
      <c r="BA36" s="47">
        <f>VLOOKUP($A$36&amp;"_"&amp;BA$41,bassins_diff_tri!$B:$H,BA$40,0)</f>
        <v>168.43243097812729</v>
      </c>
      <c r="BB36" s="47">
        <f>VLOOKUP($A$36&amp;"_"&amp;BB$41,bassins_diff_tri!$B:$H,BB$40,0)</f>
        <v>51.057690094781641</v>
      </c>
      <c r="BC36" s="47">
        <f>VLOOKUP($A$36&amp;"_"&amp;BC$41,bassins_diff_tri!$B:$H,BC$40,0)</f>
        <v>2</v>
      </c>
      <c r="BD36" s="36" t="str">
        <f>VLOOKUP($A$36&amp;"_"&amp;BD$41,bassins_diff_tri!$B:$H,BD$40,0)</f>
        <v>Artistes, professeurs d'art (musique, danse, spectacles)</v>
      </c>
      <c r="BE36" s="47">
        <f>VLOOKUP($A$36&amp;"_"&amp;BE$41,bassins_diff_tri!$B:$H,BE$40,0)</f>
        <v>165.074938882293</v>
      </c>
      <c r="BF36" s="47">
        <f>VLOOKUP($A$36&amp;"_"&amp;BF$41,bassins_diff_tri!$B:$H,BF$40,0)</f>
        <v>60</v>
      </c>
      <c r="BG36" s="47">
        <f>VLOOKUP($A$36&amp;"_"&amp;BG$41,bassins_diff_tri!$B:$H,BG$40,0)</f>
        <v>53.286791166918064</v>
      </c>
      <c r="BH36" s="36" t="str">
        <f>VLOOKUP($A$36&amp;"_"&amp;BH$41,bassins_diff_tri!$B:$H,BH$40,0)</f>
        <v>Employés de libre-service</v>
      </c>
      <c r="BI36" s="47">
        <f>VLOOKUP($A$36&amp;"_"&amp;BI$41,bassins_diff_tri!$B:$H,BI$40,0)</f>
        <v>165.0202104029668</v>
      </c>
      <c r="BJ36" s="47">
        <f>VLOOKUP($A$36&amp;"_"&amp;BJ$41,bassins_diff_tri!$B:$H,BJ$40,0)</f>
        <v>45.663712593598127</v>
      </c>
      <c r="BK36" s="47">
        <f>VLOOKUP($A$36&amp;"_"&amp;BK$41,bassins_diff_tri!$B:$H,BK$40,0)</f>
        <v>9</v>
      </c>
      <c r="BL36" s="36" t="str">
        <f>VLOOKUP($A$36&amp;"_"&amp;BL$41,bassins_diff_tri!$B:$H,BL$40,0)</f>
        <v>Secrétaires bureautiques et assimilés (y compris secrétaires médicales)</v>
      </c>
      <c r="BM36" s="47">
        <f>VLOOKUP($A$36&amp;"_"&amp;BM$41,bassins_diff_tri!$B:$H,BM$40,0)</f>
        <v>159.47390471488515</v>
      </c>
      <c r="BN36" s="47">
        <f>VLOOKUP($A$36&amp;"_"&amp;BN$41,bassins_diff_tri!$B:$H,BN$40,0)</f>
        <v>63.804830010419046</v>
      </c>
      <c r="BO36" s="47">
        <f>VLOOKUP($A$36&amp;"_"&amp;BO$41,bassins_diff_tri!$B:$H,BO$40,0)</f>
        <v>12.654438462907235</v>
      </c>
      <c r="BP36" s="47"/>
      <c r="BQ36" s="138">
        <v>134.44738693200964</v>
      </c>
      <c r="BR36" s="138">
        <v>187.11578135354682</v>
      </c>
      <c r="BS36" s="138">
        <v>1064.9933518106175</v>
      </c>
      <c r="BT36" s="138">
        <v>1045.660166557333</v>
      </c>
      <c r="BU36" s="138">
        <v>4589.1292035216948</v>
      </c>
      <c r="BV36" s="138">
        <v>390.85008721216019</v>
      </c>
      <c r="BW36" s="138">
        <v>539.93137299743717</v>
      </c>
      <c r="BX36" s="138">
        <v>214.48129850219675</v>
      </c>
      <c r="BY36" s="138">
        <v>123.86152106362881</v>
      </c>
      <c r="BZ36" s="138">
        <v>156.67655655668761</v>
      </c>
      <c r="CA36" s="138">
        <v>1168.3866475544935</v>
      </c>
      <c r="CB36" s="138">
        <v>667.841497112865</v>
      </c>
      <c r="CC36" s="138">
        <v>637.50823875999845</v>
      </c>
      <c r="CD36" s="138">
        <v>689.59198376222673</v>
      </c>
      <c r="CE36" s="140">
        <f t="shared" si="7"/>
        <v>7021.3458901752019</v>
      </c>
      <c r="CF36" s="33">
        <v>1472.798184792711</v>
      </c>
      <c r="CG36" s="33">
        <v>1154.8660629865917</v>
      </c>
      <c r="CH36" s="33">
        <v>630.51861444358235</v>
      </c>
      <c r="CI36" s="33">
        <v>1121.9749103044926</v>
      </c>
      <c r="CJ36" s="33">
        <v>911.94443340426278</v>
      </c>
      <c r="CK36" s="33">
        <v>458.12652822029196</v>
      </c>
      <c r="CL36" s="33">
        <v>461.90970023918288</v>
      </c>
      <c r="CM36" s="33">
        <v>809.2074557840848</v>
      </c>
      <c r="CN36" s="34">
        <f t="shared" si="14"/>
        <v>7021.345890175201</v>
      </c>
      <c r="CO36" s="141" t="s">
        <v>45</v>
      </c>
      <c r="CP36" s="141" t="s">
        <v>130</v>
      </c>
      <c r="CQ36" s="141" t="s">
        <v>195</v>
      </c>
      <c r="CR36" s="141" t="s">
        <v>128</v>
      </c>
      <c r="CS36" s="141" t="s">
        <v>133</v>
      </c>
    </row>
    <row r="37" spans="1:120" s="71" customFormat="1" ht="13.5" x14ac:dyDescent="0.2">
      <c r="A37" s="3">
        <v>1150</v>
      </c>
      <c r="B37" s="15" t="s">
        <v>188</v>
      </c>
      <c r="C37" s="118">
        <v>5885.989409888105</v>
      </c>
      <c r="D37" s="118">
        <v>6436.5399681079989</v>
      </c>
      <c r="E37" s="121">
        <f t="shared" si="12"/>
        <v>9.3535771113519628E-2</v>
      </c>
      <c r="F37" s="118">
        <v>2407.2744623720596</v>
      </c>
      <c r="G37" s="118">
        <v>2915.0867834549995</v>
      </c>
      <c r="H37" s="121">
        <f t="shared" si="0"/>
        <v>0.21094907498937876</v>
      </c>
      <c r="I37" s="118">
        <v>859.41790722280098</v>
      </c>
      <c r="J37" s="118">
        <v>881.37687287300002</v>
      </c>
      <c r="K37" s="121">
        <f t="shared" si="1"/>
        <v>2.5550975218981975E-2</v>
      </c>
      <c r="L37" s="26">
        <v>1874.4268750684901</v>
      </c>
      <c r="M37" s="26">
        <v>2076.969335591903</v>
      </c>
      <c r="N37" s="27">
        <f t="shared" si="2"/>
        <v>0.10805567462641741</v>
      </c>
      <c r="O37" s="118">
        <v>7881.0000002762026</v>
      </c>
      <c r="P37" s="118">
        <v>8031.0000000712753</v>
      </c>
      <c r="Q37" s="121">
        <f t="shared" si="3"/>
        <v>1.9033117597997196E-2</v>
      </c>
      <c r="R37" s="131">
        <v>1653.0509167875839</v>
      </c>
      <c r="S37" s="131">
        <v>1986.7238720176076</v>
      </c>
      <c r="T37" s="121">
        <f t="shared" si="4"/>
        <v>0.20185279947604928</v>
      </c>
      <c r="U37" s="135">
        <f t="shared" si="15"/>
        <v>0.20975141691785942</v>
      </c>
      <c r="V37" s="135">
        <f t="shared" si="13"/>
        <v>0.24738187921802707</v>
      </c>
      <c r="W37" s="27" t="str">
        <f t="shared" si="5"/>
        <v>3,8 pt(s)</v>
      </c>
      <c r="X37" s="26">
        <v>111472.014078234</v>
      </c>
      <c r="Y37" s="26">
        <v>110300.46082981805</v>
      </c>
      <c r="Z37" s="27">
        <f t="shared" si="6"/>
        <v>-1.0509841937490494E-2</v>
      </c>
      <c r="AA37" s="47" t="s">
        <v>188</v>
      </c>
      <c r="AB37" s="36" t="str">
        <f>VLOOKUP($A$37&amp;"_"&amp;AB$41,bassins_diff_tri!$B:$H,AB$40,0)</f>
        <v>Agents d'entretien de locaux (y compris ATSEM)</v>
      </c>
      <c r="AC37" s="47">
        <f>VLOOKUP($A$37&amp;"_"&amp;AC$41,bassins_diff_tri!$B:$H,AC$40,0)</f>
        <v>459.26948143267049</v>
      </c>
      <c r="AD37" s="47">
        <f>VLOOKUP($A$37&amp;"_"&amp;AD$41,bassins_diff_tri!$B:$H,AD$40,0)</f>
        <v>78.364213348033431</v>
      </c>
      <c r="AE37" s="47">
        <f>VLOOKUP($A$37&amp;"_"&amp;AE$41,bassins_diff_tri!$B:$H,AE$40,0)</f>
        <v>189.9806642562109</v>
      </c>
      <c r="AF37" s="36" t="str">
        <f>VLOOKUP($A$37&amp;"_"&amp;AF$41,bassins_diff_tri!$B:$H,AF$40,0)</f>
        <v>Professionnels de l'animation socioculturelle (animateurs et directeurs)</v>
      </c>
      <c r="AG37" s="47">
        <f>VLOOKUP($A$37&amp;"_"&amp;AG$41,bassins_diff_tri!$B:$H,AG$40,0)</f>
        <v>360.78843755316416</v>
      </c>
      <c r="AH37" s="47">
        <f>VLOOKUP($A$37&amp;"_"&amp;AH$41,bassins_diff_tri!$B:$H,AH$40,0)</f>
        <v>188.08852961509839</v>
      </c>
      <c r="AI37" s="47">
        <f>VLOOKUP($A$37&amp;"_"&amp;AI$41,bassins_diff_tri!$B:$H,AI$40,0)</f>
        <v>112.38082857587125</v>
      </c>
      <c r="AJ37" s="36" t="str">
        <f>VLOOKUP($A$37&amp;"_"&amp;AJ$41,bassins_diff_tri!$B:$H,AJ$40,0)</f>
        <v>Agents de sécurité et de surveillance, enquêteurs privés et métiers assimilés</v>
      </c>
      <c r="AK37" s="47">
        <f>VLOOKUP($A$37&amp;"_"&amp;AK$41,bassins_diff_tri!$B:$H,AK$40,0)</f>
        <v>272.67653266059779</v>
      </c>
      <c r="AL37" s="47">
        <f>VLOOKUP($A$37&amp;"_"&amp;AL$41,bassins_diff_tri!$B:$H,AL$40,0)</f>
        <v>207</v>
      </c>
      <c r="AM37" s="47">
        <f>VLOOKUP($A$37&amp;"_"&amp;AM$41,bassins_diff_tri!$B:$H,AM$40,0)</f>
        <v>44</v>
      </c>
      <c r="AN37" s="36" t="str">
        <f>VLOOKUP($A$37&amp;"_"&amp;AN$41,bassins_diff_tri!$B:$H,AN$40,0)</f>
        <v>Employés de libre-service</v>
      </c>
      <c r="AO37" s="47">
        <f>VLOOKUP($A$37&amp;"_"&amp;AO$41,bassins_diff_tri!$B:$H,AO$40,0)</f>
        <v>204.76814582974657</v>
      </c>
      <c r="AP37" s="47">
        <f>VLOOKUP($A$37&amp;"_"&amp;AP$41,bassins_diff_tri!$B:$H,AP$40,0)</f>
        <v>98.450204711111098</v>
      </c>
      <c r="AQ37" s="47">
        <f>VLOOKUP($A$37&amp;"_"&amp;AQ$41,bassins_diff_tri!$B:$H,AQ$40,0)</f>
        <v>71.450204711111098</v>
      </c>
      <c r="AR37" s="36" t="str">
        <f>VLOOKUP($A$37&amp;"_"&amp;AR$41,bassins_diff_tri!$B:$H,AR$40,0)</f>
        <v>Commerciaux (techniciens commerciaux en entreprise)</v>
      </c>
      <c r="AS37" s="47">
        <f>VLOOKUP($A$37&amp;"_"&amp;AS$41,bassins_diff_tri!$B:$H,AS$40,0)</f>
        <v>178.43771015755371</v>
      </c>
      <c r="AT37" s="47">
        <f>VLOOKUP($A$37&amp;"_"&amp;AT$41,bassins_diff_tri!$B:$H,AT$40,0)</f>
        <v>93.474153369081591</v>
      </c>
      <c r="AU37" s="47">
        <f>VLOOKUP($A$37&amp;"_"&amp;AU$41,bassins_diff_tri!$B:$H,AU$40,0)</f>
        <v>4</v>
      </c>
      <c r="AV37" s="36" t="str">
        <f>VLOOKUP($A$37&amp;"_"&amp;AV$41,bassins_diff_tri!$B:$H,AV$40,0)</f>
        <v>Aides, apprentis, employés polyvalents de cuisine (y compris crêpes, pizzas, plonge …)</v>
      </c>
      <c r="AW37" s="47">
        <f>VLOOKUP($A$37&amp;"_"&amp;AW$41,bassins_diff_tri!$B:$H,AW$40,0)</f>
        <v>176.92428546535021</v>
      </c>
      <c r="AX37" s="47">
        <f>VLOOKUP($A$37&amp;"_"&amp;AX$41,bassins_diff_tri!$B:$H,AX$40,0)</f>
        <v>57.165925869433671</v>
      </c>
      <c r="AY37" s="47">
        <f>VLOOKUP($A$37&amp;"_"&amp;AY$41,bassins_diff_tri!$B:$H,AY$40,0)</f>
        <v>65.914818928550702</v>
      </c>
      <c r="AZ37" s="36" t="str">
        <f>VLOOKUP($A$37&amp;"_"&amp;AZ$41,bassins_diff_tri!$B:$H,AZ$40,0)</f>
        <v>Conducteurs routiers et grands routiers</v>
      </c>
      <c r="BA37" s="47">
        <f>VLOOKUP($A$37&amp;"_"&amp;BA$41,bassins_diff_tri!$B:$H,BA$40,0)</f>
        <v>169.56501858272526</v>
      </c>
      <c r="BB37" s="47">
        <f>VLOOKUP($A$37&amp;"_"&amp;BB$41,bassins_diff_tri!$B:$H,BB$40,0)</f>
        <v>70.371240163730391</v>
      </c>
      <c r="BC37" s="47">
        <f>VLOOKUP($A$37&amp;"_"&amp;BC$41,bassins_diff_tri!$B:$H,BC$40,0)</f>
        <v>0</v>
      </c>
      <c r="BD37" s="36" t="str">
        <f>VLOOKUP($A$37&amp;"_"&amp;BD$41,bassins_diff_tri!$B:$H,BD$40,0)</f>
        <v>Ouvriers non qualifiés du second œuvre du bâtiment</v>
      </c>
      <c r="BE37" s="47">
        <f>VLOOKUP($A$37&amp;"_"&amp;BE$41,bassins_diff_tri!$B:$H,BE$40,0)</f>
        <v>156.88482746153329</v>
      </c>
      <c r="BF37" s="47">
        <f>VLOOKUP($A$37&amp;"_"&amp;BF$41,bassins_diff_tri!$B:$H,BF$40,0)</f>
        <v>85.744793733281639</v>
      </c>
      <c r="BG37" s="47">
        <f>VLOOKUP($A$37&amp;"_"&amp;BG$41,bassins_diff_tri!$B:$H,BG$40,0)</f>
        <v>3</v>
      </c>
      <c r="BH37" s="36" t="str">
        <f>VLOOKUP($A$37&amp;"_"&amp;BH$41,bassins_diff_tri!$B:$H,BH$40,0)</f>
        <v>Secrétaires bureautiques et assimilés (y compris secrétaires médicales)</v>
      </c>
      <c r="BI37" s="47">
        <f>VLOOKUP($A$37&amp;"_"&amp;BI$41,bassins_diff_tri!$B:$H,BI$40,0)</f>
        <v>148.9158595898478</v>
      </c>
      <c r="BJ37" s="47">
        <f>VLOOKUP($A$37&amp;"_"&amp;BJ$41,bassins_diff_tri!$B:$H,BJ$40,0)</f>
        <v>39.103909175039632</v>
      </c>
      <c r="BK37" s="47">
        <f>VLOOKUP($A$37&amp;"_"&amp;BK$41,bassins_diff_tri!$B:$H,BK$40,0)</f>
        <v>5.6610239248856358</v>
      </c>
      <c r="BL37" s="36" t="str">
        <f>VLOOKUP($A$37&amp;"_"&amp;BL$41,bassins_diff_tri!$B:$H,BL$40,0)</f>
        <v>Caissiers, pompistes</v>
      </c>
      <c r="BM37" s="47">
        <f>VLOOKUP($A$37&amp;"_"&amp;BM$41,bassins_diff_tri!$B:$H,BM$40,0)</f>
        <v>147.40600331830279</v>
      </c>
      <c r="BN37" s="47">
        <f>VLOOKUP($A$37&amp;"_"&amp;BN$41,bassins_diff_tri!$B:$H,BN$40,0)</f>
        <v>10</v>
      </c>
      <c r="BO37" s="47">
        <f>VLOOKUP($A$37&amp;"_"&amp;BO$41,bassins_diff_tri!$B:$H,BO$40,0)</f>
        <v>52.296305269252358</v>
      </c>
      <c r="BP37" s="47"/>
      <c r="BQ37" s="138">
        <v>16.60821777801986</v>
      </c>
      <c r="BR37" s="138">
        <v>296.30220475511106</v>
      </c>
      <c r="BS37" s="138">
        <v>766.66597221873383</v>
      </c>
      <c r="BT37" s="138">
        <v>1126.1311513539138</v>
      </c>
      <c r="BU37" s="138">
        <v>4230.8324220003724</v>
      </c>
      <c r="BV37" s="138">
        <v>424.76120246385335</v>
      </c>
      <c r="BW37" s="138">
        <v>310.62386307615765</v>
      </c>
      <c r="BX37" s="138">
        <v>92.978430190089213</v>
      </c>
      <c r="BY37" s="138">
        <v>120.13623375372732</v>
      </c>
      <c r="BZ37" s="138">
        <v>111.03841851749213</v>
      </c>
      <c r="CA37" s="138">
        <v>1184.6272676390213</v>
      </c>
      <c r="CB37" s="138">
        <v>889.0010873771032</v>
      </c>
      <c r="CC37" s="138">
        <v>545.59499677641975</v>
      </c>
      <c r="CD37" s="138">
        <v>552.0709222065077</v>
      </c>
      <c r="CE37" s="140">
        <f t="shared" si="7"/>
        <v>6436.5399681061508</v>
      </c>
      <c r="CF37" s="33">
        <v>1068.8729482274052</v>
      </c>
      <c r="CG37" s="33">
        <v>810.31881391137347</v>
      </c>
      <c r="CH37" s="33">
        <v>579.50604654411075</v>
      </c>
      <c r="CI37" s="33">
        <v>702.21381185977168</v>
      </c>
      <c r="CJ37" s="33">
        <v>1002.6690721684141</v>
      </c>
      <c r="CK37" s="33">
        <v>632.04273321900223</v>
      </c>
      <c r="CL37" s="33">
        <v>443.13991967456849</v>
      </c>
      <c r="CM37" s="33">
        <v>1197.7766225015043</v>
      </c>
      <c r="CN37" s="34">
        <f t="shared" si="14"/>
        <v>6436.5399681061499</v>
      </c>
      <c r="CO37" s="141" t="s">
        <v>43</v>
      </c>
      <c r="CP37" s="141" t="s">
        <v>45</v>
      </c>
      <c r="CQ37" s="141" t="s">
        <v>44</v>
      </c>
      <c r="CR37" s="141" t="s">
        <v>55</v>
      </c>
      <c r="CS37" s="141" t="s">
        <v>127</v>
      </c>
    </row>
    <row r="38" spans="1:120" s="71" customFormat="1" ht="13.5" x14ac:dyDescent="0.2">
      <c r="A38" s="3">
        <v>1151</v>
      </c>
      <c r="B38" s="15" t="s">
        <v>189</v>
      </c>
      <c r="C38" s="118">
        <v>9419.9646312214682</v>
      </c>
      <c r="D38" s="118">
        <v>10141.490021602</v>
      </c>
      <c r="E38" s="121">
        <f t="shared" si="12"/>
        <v>7.6595339645874283E-2</v>
      </c>
      <c r="F38" s="118">
        <v>3656.2273046388668</v>
      </c>
      <c r="G38" s="118">
        <v>4844.1682992480009</v>
      </c>
      <c r="H38" s="121">
        <f t="shared" si="0"/>
        <v>0.32490895549681076</v>
      </c>
      <c r="I38" s="118">
        <v>1144.3239840329561</v>
      </c>
      <c r="J38" s="118">
        <v>1297.0272632149999</v>
      </c>
      <c r="K38" s="121">
        <f t="shared" si="1"/>
        <v>0.13344409565188853</v>
      </c>
      <c r="L38" s="26">
        <v>2553.8960624193701</v>
      </c>
      <c r="M38" s="26">
        <v>3372.1742247602638</v>
      </c>
      <c r="N38" s="27">
        <f t="shared" si="2"/>
        <v>0.32040386231134166</v>
      </c>
      <c r="O38" s="118">
        <v>14607.000000089643</v>
      </c>
      <c r="P38" s="118">
        <v>14886.999999936888</v>
      </c>
      <c r="Q38" s="121">
        <f t="shared" si="3"/>
        <v>1.9168891616726746E-2</v>
      </c>
      <c r="R38" s="131">
        <v>2680.1001158624049</v>
      </c>
      <c r="S38" s="131">
        <v>3281.6172697097027</v>
      </c>
      <c r="T38" s="121">
        <f t="shared" si="4"/>
        <v>0.22443831492979172</v>
      </c>
      <c r="U38" s="135">
        <f t="shared" si="15"/>
        <v>0.18348053096775224</v>
      </c>
      <c r="V38" s="135">
        <f t="shared" si="13"/>
        <v>0.22043509570253339</v>
      </c>
      <c r="W38" s="27" t="str">
        <f t="shared" si="5"/>
        <v>3,7 pt(s)</v>
      </c>
      <c r="X38" s="26">
        <v>153309.36803871201</v>
      </c>
      <c r="Y38" s="26">
        <v>156195.11528250441</v>
      </c>
      <c r="Z38" s="27">
        <f t="shared" si="6"/>
        <v>1.8823032673800588E-2</v>
      </c>
      <c r="AA38" s="47" t="s">
        <v>189</v>
      </c>
      <c r="AB38" s="36" t="str">
        <f>VLOOKUP($A$38&amp;"_"&amp;AB$41,bassins_diff_tri!$B:$H,AB$40,0)</f>
        <v>Aides à domicile, aides ménagères, travailleuses familiales</v>
      </c>
      <c r="AC38" s="47">
        <f>VLOOKUP($A$38&amp;"_"&amp;AC$41,bassins_diff_tri!$B:$H,AC$40,0)</f>
        <v>596.22035016247673</v>
      </c>
      <c r="AD38" s="47">
        <f>VLOOKUP($A$38&amp;"_"&amp;AD$41,bassins_diff_tri!$B:$H,AD$40,0)</f>
        <v>492.70341925356928</v>
      </c>
      <c r="AE38" s="47">
        <f>VLOOKUP($A$38&amp;"_"&amp;AE$41,bassins_diff_tri!$B:$H,AE$40,0)</f>
        <v>32.949229253886863</v>
      </c>
      <c r="AF38" s="36" t="str">
        <f>VLOOKUP($A$38&amp;"_"&amp;AF$41,bassins_diff_tri!$B:$H,AF$40,0)</f>
        <v>Employés de la banque et des assurances</v>
      </c>
      <c r="AG38" s="47">
        <f>VLOOKUP($A$38&amp;"_"&amp;AG$41,bassins_diff_tri!$B:$H,AG$40,0)</f>
        <v>525.12720524855274</v>
      </c>
      <c r="AH38" s="47">
        <f>VLOOKUP($A$38&amp;"_"&amp;AH$41,bassins_diff_tri!$B:$H,AH$40,0)</f>
        <v>62.930331357107328</v>
      </c>
      <c r="AI38" s="47">
        <f>VLOOKUP($A$38&amp;"_"&amp;AI$41,bassins_diff_tri!$B:$H,AI$40,0)</f>
        <v>0</v>
      </c>
      <c r="AJ38" s="36" t="str">
        <f>VLOOKUP($A$38&amp;"_"&amp;AJ$41,bassins_diff_tri!$B:$H,AJ$40,0)</f>
        <v>Artistes, professeurs d'art (musique, danse, spectacles)</v>
      </c>
      <c r="AK38" s="47">
        <f>VLOOKUP($A$38&amp;"_"&amp;AK$41,bassins_diff_tri!$B:$H,AK$40,0)</f>
        <v>418.23757257015563</v>
      </c>
      <c r="AL38" s="47">
        <f>VLOOKUP($A$38&amp;"_"&amp;AL$41,bassins_diff_tri!$B:$H,AL$40,0)</f>
        <v>136.85217614634499</v>
      </c>
      <c r="AM38" s="47">
        <f>VLOOKUP($A$38&amp;"_"&amp;AM$41,bassins_diff_tri!$B:$H,AM$40,0)</f>
        <v>150.16339222624774</v>
      </c>
      <c r="AN38" s="36" t="str">
        <f>VLOOKUP($A$38&amp;"_"&amp;AN$41,bassins_diff_tri!$B:$H,AN$40,0)</f>
        <v>Ingénieurs et cadres d'études, R et D en informatique, chefs de projets informatiques</v>
      </c>
      <c r="AO38" s="47">
        <f>VLOOKUP($A$38&amp;"_"&amp;AO$41,bassins_diff_tri!$B:$H,AO$40,0)</f>
        <v>401.89377556691511</v>
      </c>
      <c r="AP38" s="47">
        <f>VLOOKUP($A$38&amp;"_"&amp;AP$41,bassins_diff_tri!$B:$H,AP$40,0)</f>
        <v>290.91666692561716</v>
      </c>
      <c r="AQ38" s="47">
        <f>VLOOKUP($A$38&amp;"_"&amp;AQ$41,bassins_diff_tri!$B:$H,AQ$40,0)</f>
        <v>0</v>
      </c>
      <c r="AR38" s="36" t="str">
        <f>VLOOKUP($A$38&amp;"_"&amp;AR$41,bassins_diff_tri!$B:$H,AR$40,0)</f>
        <v>Agents d'entretien de locaux (y compris ATSEM)</v>
      </c>
      <c r="AS38" s="47">
        <f>VLOOKUP($A$38&amp;"_"&amp;AS$41,bassins_diff_tri!$B:$H,AS$40,0)</f>
        <v>389.98663310796258</v>
      </c>
      <c r="AT38" s="47">
        <f>VLOOKUP($A$38&amp;"_"&amp;AT$41,bassins_diff_tri!$B:$H,AT$40,0)</f>
        <v>111.42862628918768</v>
      </c>
      <c r="AU38" s="47">
        <f>VLOOKUP($A$38&amp;"_"&amp;AU$41,bassins_diff_tri!$B:$H,AU$40,0)</f>
        <v>16.117245204056534</v>
      </c>
      <c r="AV38" s="36" t="str">
        <f>VLOOKUP($A$38&amp;"_"&amp;AV$41,bassins_diff_tri!$B:$H,AV$40,0)</f>
        <v>Aides-soignants (aides médico-psychologiques, auxiliaires de puériculture, assistants médicaux…)</v>
      </c>
      <c r="AW38" s="47">
        <f>VLOOKUP($A$38&amp;"_"&amp;AW$41,bassins_diff_tri!$B:$H,AW$40,0)</f>
        <v>290.7583441597402</v>
      </c>
      <c r="AX38" s="47">
        <f>VLOOKUP($A$38&amp;"_"&amp;AX$41,bassins_diff_tri!$B:$H,AX$40,0)</f>
        <v>106.8817155954214</v>
      </c>
      <c r="AY38" s="47">
        <f>VLOOKUP($A$38&amp;"_"&amp;AY$41,bassins_diff_tri!$B:$H,AY$40,0)</f>
        <v>60.755248747960721</v>
      </c>
      <c r="AZ38" s="36" t="str">
        <f>VLOOKUP($A$38&amp;"_"&amp;AZ$41,bassins_diff_tri!$B:$H,AZ$40,0)</f>
        <v>Secrétaires bureautiques et assimilés (y compris secrétaires médicales)</v>
      </c>
      <c r="BA38" s="47">
        <f>VLOOKUP($A$38&amp;"_"&amp;BA$41,bassins_diff_tri!$B:$H,BA$40,0)</f>
        <v>274.69535214993988</v>
      </c>
      <c r="BB38" s="47">
        <f>VLOOKUP($A$38&amp;"_"&amp;BB$41,bassins_diff_tri!$B:$H,BB$40,0)</f>
        <v>129.79309714584832</v>
      </c>
      <c r="BC38" s="47">
        <f>VLOOKUP($A$38&amp;"_"&amp;BC$41,bassins_diff_tri!$B:$H,BC$40,0)</f>
        <v>19.248757878946481</v>
      </c>
      <c r="BD38" s="36" t="str">
        <f>VLOOKUP($A$38&amp;"_"&amp;BD$41,bassins_diff_tri!$B:$H,BD$40,0)</f>
        <v>Assistantes maternelles</v>
      </c>
      <c r="BE38" s="47">
        <f>VLOOKUP($A$38&amp;"_"&amp;BE$41,bassins_diff_tri!$B:$H,BE$40,0)</f>
        <v>246.27566630540144</v>
      </c>
      <c r="BF38" s="47">
        <f>VLOOKUP($A$38&amp;"_"&amp;BF$41,bassins_diff_tri!$B:$H,BF$40,0)</f>
        <v>149.69533091045412</v>
      </c>
      <c r="BG38" s="47">
        <f>VLOOKUP($A$38&amp;"_"&amp;BG$41,bassins_diff_tri!$B:$H,BG$40,0)</f>
        <v>16.720777948554563</v>
      </c>
      <c r="BH38" s="36" t="str">
        <f>VLOOKUP($A$38&amp;"_"&amp;BH$41,bassins_diff_tri!$B:$H,BH$40,0)</f>
        <v>Ouvriers non qualifiés du gros œuvre du bâtiment</v>
      </c>
      <c r="BI38" s="47">
        <f>VLOOKUP($A$38&amp;"_"&amp;BI$41,bassins_diff_tri!$B:$H,BI$40,0)</f>
        <v>232.65309656189328</v>
      </c>
      <c r="BJ38" s="47">
        <f>VLOOKUP($A$38&amp;"_"&amp;BJ$41,bassins_diff_tri!$B:$H,BJ$40,0)</f>
        <v>118.0273129701076</v>
      </c>
      <c r="BK38" s="47">
        <f>VLOOKUP($A$38&amp;"_"&amp;BK$41,bassins_diff_tri!$B:$H,BK$40,0)</f>
        <v>84.561070596446996</v>
      </c>
      <c r="BL38" s="36" t="str">
        <f>VLOOKUP($A$38&amp;"_"&amp;BL$41,bassins_diff_tri!$B:$H,BL$40,0)</f>
        <v>Agents de sécurité et de surveillance, enquêteurs privés et métiers assimilés</v>
      </c>
      <c r="BM38" s="47">
        <f>VLOOKUP($A$38&amp;"_"&amp;BM$41,bassins_diff_tri!$B:$H,BM$40,0)</f>
        <v>229.30108555072457</v>
      </c>
      <c r="BN38" s="47">
        <f>VLOOKUP($A$38&amp;"_"&amp;BN$41,bassins_diff_tri!$B:$H,BN$40,0)</f>
        <v>87.940383242177091</v>
      </c>
      <c r="BO38" s="47">
        <f>VLOOKUP($A$38&amp;"_"&amp;BO$41,bassins_diff_tri!$B:$H,BO$40,0)</f>
        <v>15</v>
      </c>
      <c r="BP38" s="47"/>
      <c r="BQ38" s="138">
        <v>66.293682329059067</v>
      </c>
      <c r="BR38" s="138">
        <v>230.22119654093936</v>
      </c>
      <c r="BS38" s="138">
        <v>1032.7242244523936</v>
      </c>
      <c r="BT38" s="138">
        <v>1038.5679781465201</v>
      </c>
      <c r="BU38" s="138">
        <v>7773.6829401369469</v>
      </c>
      <c r="BV38" s="138">
        <v>275.57315100357374</v>
      </c>
      <c r="BW38" s="138">
        <v>465.20044835879406</v>
      </c>
      <c r="BX38" s="138">
        <v>684.71115972003076</v>
      </c>
      <c r="BY38" s="138">
        <v>996.68084717285979</v>
      </c>
      <c r="BZ38" s="138">
        <v>341.5599604767927</v>
      </c>
      <c r="CA38" s="138">
        <v>1419.1016119560857</v>
      </c>
      <c r="CB38" s="138">
        <v>623.67971169365819</v>
      </c>
      <c r="CC38" s="138">
        <v>1442.1012786828999</v>
      </c>
      <c r="CD38" s="138">
        <v>1525.0747710722519</v>
      </c>
      <c r="CE38" s="140">
        <f t="shared" si="7"/>
        <v>10141.49002160586</v>
      </c>
      <c r="CF38" s="33">
        <v>1564.3021578399555</v>
      </c>
      <c r="CG38" s="33">
        <v>1608.6798533175354</v>
      </c>
      <c r="CH38" s="33">
        <v>1247.9649399812527</v>
      </c>
      <c r="CI38" s="33">
        <v>1096.1080920162258</v>
      </c>
      <c r="CJ38" s="33">
        <v>1233.9178056919236</v>
      </c>
      <c r="CK38" s="33">
        <v>998.13163882678396</v>
      </c>
      <c r="CL38" s="33">
        <v>676.87111770779211</v>
      </c>
      <c r="CM38" s="33">
        <v>1715.514416224388</v>
      </c>
      <c r="CN38" s="34">
        <f t="shared" si="14"/>
        <v>10141.490021605858</v>
      </c>
      <c r="CO38" s="141" t="s">
        <v>130</v>
      </c>
      <c r="CP38" s="141" t="s">
        <v>194</v>
      </c>
      <c r="CQ38" s="141" t="s">
        <v>131</v>
      </c>
      <c r="CR38" s="141" t="s">
        <v>125</v>
      </c>
      <c r="CS38" s="141" t="s">
        <v>43</v>
      </c>
    </row>
    <row r="39" spans="1:120" s="71" customFormat="1" ht="13.5" x14ac:dyDescent="0.2">
      <c r="A39" s="3">
        <v>1152</v>
      </c>
      <c r="B39" s="15" t="s">
        <v>190</v>
      </c>
      <c r="C39" s="118">
        <v>7639.2195615846476</v>
      </c>
      <c r="D39" s="118">
        <v>9545.8600118909999</v>
      </c>
      <c r="E39" s="121">
        <f t="shared" si="12"/>
        <v>0.24958576395608234</v>
      </c>
      <c r="F39" s="118">
        <v>2996.6919818001361</v>
      </c>
      <c r="G39" s="118">
        <v>3562.6798247099996</v>
      </c>
      <c r="H39" s="121">
        <f t="shared" si="0"/>
        <v>0.18887087706954464</v>
      </c>
      <c r="I39" s="118">
        <v>918.17339431363098</v>
      </c>
      <c r="J39" s="118">
        <v>1720.6060608370003</v>
      </c>
      <c r="K39" s="121">
        <f t="shared" si="1"/>
        <v>0.87394458551395715</v>
      </c>
      <c r="L39" s="26">
        <v>2074.2024129029401</v>
      </c>
      <c r="M39" s="26">
        <v>2542.7718760231601</v>
      </c>
      <c r="N39" s="27">
        <f t="shared" si="2"/>
        <v>0.22590344134468343</v>
      </c>
      <c r="O39" s="118">
        <v>13230.000000091113</v>
      </c>
      <c r="P39" s="118">
        <v>13506.000000077642</v>
      </c>
      <c r="Q39" s="121">
        <f t="shared" si="3"/>
        <v>2.0861678003373241E-2</v>
      </c>
      <c r="R39" s="131">
        <v>2486.400004748255</v>
      </c>
      <c r="S39" s="131">
        <v>3045.4102999209381</v>
      </c>
      <c r="T39" s="121">
        <f t="shared" si="4"/>
        <v>0.22482717748759096</v>
      </c>
      <c r="U39" s="135">
        <f t="shared" si="15"/>
        <v>0.18793650829411426</v>
      </c>
      <c r="V39" s="135">
        <f t="shared" si="13"/>
        <v>0.22548573225999044</v>
      </c>
      <c r="W39" s="27" t="str">
        <f t="shared" si="5"/>
        <v>3,8 pt(s)</v>
      </c>
      <c r="X39" s="26">
        <v>121751.375595473</v>
      </c>
      <c r="Y39" s="26">
        <v>126996.38480695199</v>
      </c>
      <c r="Z39" s="27">
        <f t="shared" si="6"/>
        <v>4.307967105772903E-2</v>
      </c>
      <c r="AA39" s="47" t="s">
        <v>190</v>
      </c>
      <c r="AB39" s="36" t="str">
        <f>VLOOKUP($A$39&amp;"_"&amp;AB$41,bassins_diff_tri!$B:$H,AB$40,0)</f>
        <v>Agents de sécurité et de surveillance, enquêteurs privés et métiers assimilés</v>
      </c>
      <c r="AC39" s="47">
        <f>VLOOKUP($A$39&amp;"_"&amp;AC$41,bassins_diff_tri!$B:$H,AC$40,0)</f>
        <v>408.60074418860171</v>
      </c>
      <c r="AD39" s="47">
        <f>VLOOKUP($A$39&amp;"_"&amp;AD$41,bassins_diff_tri!$B:$H,AD$40,0)</f>
        <v>63.398636533753916</v>
      </c>
      <c r="AE39" s="47">
        <f>VLOOKUP($A$39&amp;"_"&amp;AE$41,bassins_diff_tri!$B:$H,AE$40,0)</f>
        <v>0</v>
      </c>
      <c r="AF39" s="36" t="str">
        <f>VLOOKUP($A$39&amp;"_"&amp;AF$41,bassins_diff_tri!$B:$H,AF$40,0)</f>
        <v>Aides, apprentis, employés polyvalents de cuisine (y compris crêpes, pizzas, plonge …)</v>
      </c>
      <c r="AG39" s="47">
        <f>VLOOKUP($A$39&amp;"_"&amp;AG$41,bassins_diff_tri!$B:$H,AG$40,0)</f>
        <v>342.52831235353352</v>
      </c>
      <c r="AH39" s="47">
        <f>VLOOKUP($A$39&amp;"_"&amp;AH$41,bassins_diff_tri!$B:$H,AH$40,0)</f>
        <v>59.744913725443951</v>
      </c>
      <c r="AI39" s="47">
        <f>VLOOKUP($A$39&amp;"_"&amp;AI$41,bassins_diff_tri!$B:$H,AI$40,0)</f>
        <v>59.28248457332969</v>
      </c>
      <c r="AJ39" s="36" t="str">
        <f>VLOOKUP($A$39&amp;"_"&amp;AJ$41,bassins_diff_tri!$B:$H,AJ$40,0)</f>
        <v>Professionnels de l'animation socioculturelle (animateurs et directeurs)</v>
      </c>
      <c r="AK39" s="47">
        <f>VLOOKUP($A$39&amp;"_"&amp;AK$41,bassins_diff_tri!$B:$H,AK$40,0)</f>
        <v>322.611126776037</v>
      </c>
      <c r="AL39" s="47">
        <f>VLOOKUP($A$39&amp;"_"&amp;AL$41,bassins_diff_tri!$B:$H,AL$40,0)</f>
        <v>49.042514563863485</v>
      </c>
      <c r="AM39" s="47">
        <f>VLOOKUP($A$39&amp;"_"&amp;AM$41,bassins_diff_tri!$B:$H,AM$40,0)</f>
        <v>69.81412834206003</v>
      </c>
      <c r="AN39" s="36" t="str">
        <f>VLOOKUP($A$39&amp;"_"&amp;AN$41,bassins_diff_tri!$B:$H,AN$40,0)</f>
        <v>Agents d'entretien de locaux (y compris ATSEM)</v>
      </c>
      <c r="AO39" s="47">
        <f>VLOOKUP($A$39&amp;"_"&amp;AO$41,bassins_diff_tri!$B:$H,AO$40,0)</f>
        <v>294.70241136415922</v>
      </c>
      <c r="AP39" s="47">
        <f>VLOOKUP($A$39&amp;"_"&amp;AP$41,bassins_diff_tri!$B:$H,AP$40,0)</f>
        <v>40.715365112885038</v>
      </c>
      <c r="AQ39" s="47">
        <f>VLOOKUP($A$39&amp;"_"&amp;AQ$41,bassins_diff_tri!$B:$H,AQ$40,0)</f>
        <v>13.207682023728053</v>
      </c>
      <c r="AR39" s="36" t="str">
        <f>VLOOKUP($A$39&amp;"_"&amp;AR$41,bassins_diff_tri!$B:$H,AR$40,0)</f>
        <v>Artistes, professeurs d'art (musique, danse, spectacles)</v>
      </c>
      <c r="AS39" s="47">
        <f>VLOOKUP($A$39&amp;"_"&amp;AS$41,bassins_diff_tri!$B:$H,AS$40,0)</f>
        <v>290.68141720636737</v>
      </c>
      <c r="AT39" s="47">
        <f>VLOOKUP($A$39&amp;"_"&amp;AT$41,bassins_diff_tri!$B:$H,AT$40,0)</f>
        <v>10.320411733791632</v>
      </c>
      <c r="AU39" s="47">
        <f>VLOOKUP($A$39&amp;"_"&amp;AU$41,bassins_diff_tri!$B:$H,AU$40,0)</f>
        <v>110.41528613412123</v>
      </c>
      <c r="AV39" s="36" t="str">
        <f>VLOOKUP($A$39&amp;"_"&amp;AV$41,bassins_diff_tri!$B:$H,AV$40,0)</f>
        <v>Aides-soignants (aides médico-psychologiques, auxiliaires de puériculture, assistants médicaux…)</v>
      </c>
      <c r="AW39" s="47">
        <f>VLOOKUP($A$39&amp;"_"&amp;AW$41,bassins_diff_tri!$B:$H,AW$40,0)</f>
        <v>282.08588029153293</v>
      </c>
      <c r="AX39" s="47">
        <f>VLOOKUP($A$39&amp;"_"&amp;AX$41,bassins_diff_tri!$B:$H,AX$40,0)</f>
        <v>48.630733400713915</v>
      </c>
      <c r="AY39" s="47">
        <f>VLOOKUP($A$39&amp;"_"&amp;AY$41,bassins_diff_tri!$B:$H,AY$40,0)</f>
        <v>170.06035020563772</v>
      </c>
      <c r="AZ39" s="36" t="str">
        <f>VLOOKUP($A$39&amp;"_"&amp;AZ$41,bassins_diff_tri!$B:$H,AZ$40,0)</f>
        <v>Aides à domicile, aides ménagères, travailleuses familiales</v>
      </c>
      <c r="BA39" s="47">
        <f>VLOOKUP($A$39&amp;"_"&amp;BA$41,bassins_diff_tri!$B:$H,BA$40,0)</f>
        <v>273.02878148218815</v>
      </c>
      <c r="BB39" s="47">
        <f>VLOOKUP($A$39&amp;"_"&amp;BB$41,bassins_diff_tri!$B:$H,BB$40,0)</f>
        <v>225.09646675709018</v>
      </c>
      <c r="BC39" s="47">
        <f>VLOOKUP($A$39&amp;"_"&amp;BC$41,bassins_diff_tri!$B:$H,BC$40,0)</f>
        <v>40.977957584390687</v>
      </c>
      <c r="BD39" s="36" t="str">
        <f>VLOOKUP($A$39&amp;"_"&amp;BD$41,bassins_diff_tri!$B:$H,BD$40,0)</f>
        <v>Ouvriers non qualifiés de l'emballage et manutentionnaires</v>
      </c>
      <c r="BE39" s="47">
        <f>VLOOKUP($A$39&amp;"_"&amp;BE$41,bassins_diff_tri!$B:$H,BE$40,0)</f>
        <v>256.91993801664898</v>
      </c>
      <c r="BF39" s="47">
        <f>VLOOKUP($A$39&amp;"_"&amp;BF$41,bassins_diff_tri!$B:$H,BF$40,0)</f>
        <v>24.201468652239775</v>
      </c>
      <c r="BG39" s="47">
        <f>VLOOKUP($A$39&amp;"_"&amp;BG$41,bassins_diff_tri!$B:$H,BG$40,0)</f>
        <v>58.735562236977799</v>
      </c>
      <c r="BH39" s="36" t="str">
        <f>VLOOKUP($A$39&amp;"_"&amp;BH$41,bassins_diff_tri!$B:$H,BH$40,0)</f>
        <v>Employés de libre-service</v>
      </c>
      <c r="BI39" s="47">
        <f>VLOOKUP($A$39&amp;"_"&amp;BI$41,bassins_diff_tri!$B:$H,BI$40,0)</f>
        <v>252.40632450585696</v>
      </c>
      <c r="BJ39" s="47">
        <f>VLOOKUP($A$39&amp;"_"&amp;BJ$41,bassins_diff_tri!$B:$H,BJ$40,0)</f>
        <v>98.870127985832099</v>
      </c>
      <c r="BK39" s="47">
        <f>VLOOKUP($A$39&amp;"_"&amp;BK$41,bassins_diff_tri!$B:$H,BK$40,0)</f>
        <v>22.378806760872614</v>
      </c>
      <c r="BL39" s="36" t="str">
        <f>VLOOKUP($A$39&amp;"_"&amp;BL$41,bassins_diff_tri!$B:$H,BL$40,0)</f>
        <v>Secrétaires bureautiques et assimilés (y compris secrétaires médicales)</v>
      </c>
      <c r="BM39" s="47">
        <f>VLOOKUP($A$39&amp;"_"&amp;BM$41,bassins_diff_tri!$B:$H,BM$40,0)</f>
        <v>221.92966431191914</v>
      </c>
      <c r="BN39" s="47">
        <f>VLOOKUP($A$39&amp;"_"&amp;BN$41,bassins_diff_tri!$B:$H,BN$40,0)</f>
        <v>59.19227383540759</v>
      </c>
      <c r="BO39" s="47">
        <f>VLOOKUP($A$39&amp;"_"&amp;BO$41,bassins_diff_tri!$B:$H,BO$40,0)</f>
        <v>4.7526165805885761</v>
      </c>
      <c r="BP39" s="47"/>
      <c r="BQ39" s="138">
        <v>327.01398290173972</v>
      </c>
      <c r="BR39" s="138">
        <v>414.53965528478011</v>
      </c>
      <c r="BS39" s="138">
        <v>1241.1019477269817</v>
      </c>
      <c r="BT39" s="138">
        <v>1714.9767461899019</v>
      </c>
      <c r="BU39" s="138">
        <v>5848.2276797905624</v>
      </c>
      <c r="BV39" s="138">
        <v>464.65840316671029</v>
      </c>
      <c r="BW39" s="138">
        <v>605.1995551195912</v>
      </c>
      <c r="BX39" s="138">
        <v>339.3941356369757</v>
      </c>
      <c r="BY39" s="138">
        <v>209.89434922603087</v>
      </c>
      <c r="BZ39" s="138">
        <v>147.69472649001781</v>
      </c>
      <c r="CA39" s="138">
        <v>1267.3881598847993</v>
      </c>
      <c r="CB39" s="138">
        <v>679.27394611270097</v>
      </c>
      <c r="CC39" s="138">
        <v>1402.9643004086834</v>
      </c>
      <c r="CD39" s="138">
        <v>731.76010374505233</v>
      </c>
      <c r="CE39" s="140">
        <f t="shared" si="7"/>
        <v>9545.8600118939648</v>
      </c>
      <c r="CF39" s="33">
        <v>1678.0790578305923</v>
      </c>
      <c r="CG39" s="33">
        <v>1599.6028732902428</v>
      </c>
      <c r="CH39" s="33">
        <v>906.9896660595623</v>
      </c>
      <c r="CI39" s="33">
        <v>894.84823985858122</v>
      </c>
      <c r="CJ39" s="33">
        <v>1294.8148098314805</v>
      </c>
      <c r="CK39" s="33">
        <v>942.42385848946083</v>
      </c>
      <c r="CL39" s="33">
        <v>414.92679976510982</v>
      </c>
      <c r="CM39" s="33">
        <v>1814.1747067689362</v>
      </c>
      <c r="CN39" s="34">
        <f t="shared" si="14"/>
        <v>9545.8600118939648</v>
      </c>
      <c r="CO39" s="141" t="s">
        <v>44</v>
      </c>
      <c r="CP39" s="141" t="s">
        <v>128</v>
      </c>
      <c r="CQ39" s="141" t="s">
        <v>45</v>
      </c>
      <c r="CR39" s="141" t="s">
        <v>43</v>
      </c>
      <c r="CS39" s="141" t="s">
        <v>131</v>
      </c>
    </row>
    <row r="40" spans="1:120" s="71" customFormat="1" x14ac:dyDescent="0.2">
      <c r="A40" s="3"/>
      <c r="B40" s="1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>
        <v>3</v>
      </c>
      <c r="AC40">
        <v>5</v>
      </c>
      <c r="AD40">
        <v>6</v>
      </c>
      <c r="AE40">
        <v>7</v>
      </c>
      <c r="AF40">
        <v>3</v>
      </c>
      <c r="AG40">
        <v>5</v>
      </c>
      <c r="AH40">
        <v>6</v>
      </c>
      <c r="AI40">
        <v>7</v>
      </c>
      <c r="AJ40">
        <v>3</v>
      </c>
      <c r="AK40">
        <v>5</v>
      </c>
      <c r="AL40">
        <v>6</v>
      </c>
      <c r="AM40">
        <v>7</v>
      </c>
      <c r="AN40">
        <v>3</v>
      </c>
      <c r="AO40">
        <v>5</v>
      </c>
      <c r="AP40">
        <v>6</v>
      </c>
      <c r="AQ40">
        <v>7</v>
      </c>
      <c r="AR40">
        <v>3</v>
      </c>
      <c r="AS40">
        <v>5</v>
      </c>
      <c r="AT40">
        <v>6</v>
      </c>
      <c r="AU40">
        <v>7</v>
      </c>
      <c r="AV40">
        <v>3</v>
      </c>
      <c r="AW40">
        <v>5</v>
      </c>
      <c r="AX40">
        <v>6</v>
      </c>
      <c r="AY40">
        <v>7</v>
      </c>
      <c r="AZ40">
        <v>3</v>
      </c>
      <c r="BA40">
        <v>5</v>
      </c>
      <c r="BB40">
        <v>6</v>
      </c>
      <c r="BC40">
        <v>7</v>
      </c>
      <c r="BD40">
        <v>3</v>
      </c>
      <c r="BE40">
        <v>5</v>
      </c>
      <c r="BF40">
        <v>6</v>
      </c>
      <c r="BG40">
        <v>7</v>
      </c>
      <c r="BH40">
        <v>3</v>
      </c>
      <c r="BI40">
        <v>5</v>
      </c>
      <c r="BJ40">
        <v>6</v>
      </c>
      <c r="BK40">
        <v>7</v>
      </c>
      <c r="BL40">
        <v>3</v>
      </c>
      <c r="BM40">
        <v>5</v>
      </c>
      <c r="BN40">
        <v>6</v>
      </c>
      <c r="BO40">
        <v>7</v>
      </c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 s="142"/>
      <c r="CP40" s="142"/>
      <c r="CQ40" s="142"/>
      <c r="CR40" s="142"/>
      <c r="CS40" s="142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</row>
    <row r="41" spans="1:120" s="71" customFormat="1" ht="16.5" customHeight="1" x14ac:dyDescent="0.2">
      <c r="A41" s="3"/>
      <c r="B41" s="15"/>
      <c r="C41"/>
      <c r="D41"/>
      <c r="E41"/>
      <c r="F41" s="17"/>
      <c r="G41" s="17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>
        <v>1</v>
      </c>
      <c r="AC41">
        <v>1</v>
      </c>
      <c r="AD41">
        <v>1</v>
      </c>
      <c r="AE41">
        <v>1</v>
      </c>
      <c r="AF41">
        <v>2</v>
      </c>
      <c r="AG41">
        <v>2</v>
      </c>
      <c r="AH41">
        <v>2</v>
      </c>
      <c r="AI41">
        <v>2</v>
      </c>
      <c r="AJ41">
        <v>3</v>
      </c>
      <c r="AK41">
        <v>3</v>
      </c>
      <c r="AL41">
        <v>3</v>
      </c>
      <c r="AM41">
        <v>3</v>
      </c>
      <c r="AN41">
        <v>4</v>
      </c>
      <c r="AO41">
        <v>4</v>
      </c>
      <c r="AP41">
        <v>4</v>
      </c>
      <c r="AQ41">
        <v>4</v>
      </c>
      <c r="AR41">
        <v>5</v>
      </c>
      <c r="AS41">
        <v>5</v>
      </c>
      <c r="AT41">
        <v>5</v>
      </c>
      <c r="AU41">
        <v>5</v>
      </c>
      <c r="AV41">
        <v>6</v>
      </c>
      <c r="AW41">
        <v>6</v>
      </c>
      <c r="AX41">
        <v>6</v>
      </c>
      <c r="AY41">
        <v>6</v>
      </c>
      <c r="AZ41">
        <v>7</v>
      </c>
      <c r="BA41">
        <v>7</v>
      </c>
      <c r="BB41">
        <v>7</v>
      </c>
      <c r="BC41">
        <v>7</v>
      </c>
      <c r="BD41">
        <v>8</v>
      </c>
      <c r="BE41">
        <v>8</v>
      </c>
      <c r="BF41">
        <v>8</v>
      </c>
      <c r="BG41">
        <v>8</v>
      </c>
      <c r="BH41">
        <v>9</v>
      </c>
      <c r="BI41">
        <v>9</v>
      </c>
      <c r="BJ41">
        <v>9</v>
      </c>
      <c r="BK41">
        <v>9</v>
      </c>
      <c r="BL41">
        <v>10</v>
      </c>
      <c r="BM41">
        <v>10</v>
      </c>
      <c r="BN41">
        <v>10</v>
      </c>
      <c r="BO41">
        <v>10</v>
      </c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</row>
    <row r="42" spans="1:120" s="71" customFormat="1" ht="13.5" x14ac:dyDescent="0.25">
      <c r="A42" s="3"/>
      <c r="B42" s="15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50"/>
      <c r="V42" s="50"/>
      <c r="W42" s="50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</row>
    <row r="43" spans="1:120" s="71" customFormat="1" ht="13.5" x14ac:dyDescent="0.25">
      <c r="A43" s="3"/>
      <c r="B43" s="15"/>
      <c r="C43" s="26"/>
      <c r="D43" s="26"/>
      <c r="E43" s="27"/>
      <c r="F43" s="26"/>
      <c r="G43" s="26"/>
      <c r="H43" s="27"/>
      <c r="I43" s="26"/>
      <c r="J43" s="26"/>
      <c r="K43"/>
      <c r="L43"/>
      <c r="M43"/>
      <c r="N43"/>
      <c r="O43"/>
      <c r="P43"/>
      <c r="Q43"/>
      <c r="R43"/>
      <c r="S43"/>
      <c r="T43"/>
      <c r="U43" s="51"/>
      <c r="V43" s="51"/>
      <c r="W43" s="51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 s="4"/>
    </row>
    <row r="44" spans="1:120" s="71" customFormat="1" ht="13.5" x14ac:dyDescent="0.25">
      <c r="A44" s="3"/>
      <c r="B44" s="15"/>
      <c r="C44" s="26"/>
      <c r="D44" s="26"/>
      <c r="E44" s="27"/>
      <c r="F44" s="26"/>
      <c r="G44" s="26"/>
      <c r="H44" s="27"/>
      <c r="I44" s="26"/>
      <c r="J44" s="26"/>
      <c r="K44" s="5">
        <v>11</v>
      </c>
      <c r="L44" s="5" t="s">
        <v>108</v>
      </c>
      <c r="M44" s="17"/>
      <c r="N44"/>
      <c r="O44"/>
      <c r="P44"/>
      <c r="Q44"/>
      <c r="R44"/>
      <c r="S44"/>
      <c r="T44"/>
      <c r="U44" s="51"/>
      <c r="V44" s="51"/>
      <c r="W44" s="51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 s="4"/>
    </row>
    <row r="45" spans="1:120" s="71" customFormat="1" ht="13.5" x14ac:dyDescent="0.25">
      <c r="A45" s="3"/>
      <c r="B45" s="15"/>
      <c r="C45" s="26"/>
      <c r="D45" s="26"/>
      <c r="E45" s="27"/>
      <c r="F45" s="26"/>
      <c r="G45" s="26"/>
      <c r="H45" s="27"/>
      <c r="I45" s="26"/>
      <c r="J45" s="26"/>
      <c r="K45" s="3">
        <v>75</v>
      </c>
      <c r="L45" s="15" t="s">
        <v>98</v>
      </c>
      <c r="M45" s="17"/>
      <c r="N45"/>
      <c r="O45"/>
      <c r="P45"/>
      <c r="Q45"/>
      <c r="R45"/>
      <c r="S45"/>
      <c r="T45"/>
      <c r="U45" s="51"/>
      <c r="V45" s="51"/>
      <c r="W45" s="51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 s="4"/>
    </row>
    <row r="46" spans="1:120" s="71" customFormat="1" ht="13.5" x14ac:dyDescent="0.25">
      <c r="A46" s="3"/>
      <c r="B46" s="15"/>
      <c r="C46" s="26"/>
      <c r="D46" s="26"/>
      <c r="E46" s="27"/>
      <c r="F46" s="26"/>
      <c r="G46" s="26"/>
      <c r="H46" s="27"/>
      <c r="I46" s="26"/>
      <c r="J46" s="26"/>
      <c r="K46" s="3">
        <v>77</v>
      </c>
      <c r="L46" s="15" t="s">
        <v>99</v>
      </c>
      <c r="M46" s="17"/>
      <c r="N46"/>
      <c r="O46"/>
      <c r="P46"/>
      <c r="Q46"/>
      <c r="R46"/>
      <c r="S46"/>
      <c r="T46"/>
      <c r="U46" s="51"/>
      <c r="V46" s="51"/>
      <c r="W46" s="51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 s="4"/>
    </row>
    <row r="47" spans="1:120" s="71" customFormat="1" ht="13.5" x14ac:dyDescent="0.25">
      <c r="A47" s="3"/>
      <c r="B47" s="15"/>
      <c r="C47" s="26"/>
      <c r="D47" s="26"/>
      <c r="E47" s="27"/>
      <c r="F47" s="26"/>
      <c r="G47" s="26"/>
      <c r="H47" s="27"/>
      <c r="I47" s="26"/>
      <c r="J47" s="26"/>
      <c r="K47" s="3">
        <v>78</v>
      </c>
      <c r="L47" s="15" t="s">
        <v>100</v>
      </c>
      <c r="M47" s="17"/>
      <c r="N47"/>
      <c r="O47"/>
      <c r="P47"/>
      <c r="Q47"/>
      <c r="R47"/>
      <c r="S47"/>
      <c r="T47"/>
      <c r="U47" s="51"/>
      <c r="V47" s="51"/>
      <c r="W47" s="51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 s="4"/>
    </row>
    <row r="48" spans="1:120" s="71" customFormat="1" ht="13.5" x14ac:dyDescent="0.25">
      <c r="A48" s="3"/>
      <c r="B48" s="15"/>
      <c r="C48" s="26"/>
      <c r="D48" s="26"/>
      <c r="E48" s="27"/>
      <c r="F48" s="26"/>
      <c r="G48" s="26"/>
      <c r="H48" s="27"/>
      <c r="I48" s="26"/>
      <c r="J48" s="26"/>
      <c r="K48" s="3">
        <v>91</v>
      </c>
      <c r="L48" s="15" t="s">
        <v>101</v>
      </c>
      <c r="M48" s="17"/>
      <c r="N48"/>
      <c r="O48"/>
      <c r="P48"/>
      <c r="Q48"/>
      <c r="R48"/>
      <c r="S48"/>
      <c r="T48"/>
      <c r="U48" s="51"/>
      <c r="V48" s="51"/>
      <c r="W48" s="51"/>
      <c r="X48"/>
      <c r="Y48"/>
      <c r="Z48"/>
      <c r="AA48" s="47" t="s">
        <v>167</v>
      </c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 s="4"/>
    </row>
    <row r="49" spans="1:97" s="71" customFormat="1" ht="13.5" x14ac:dyDescent="0.25">
      <c r="A49" s="3"/>
      <c r="B49" s="15"/>
      <c r="C49" s="26"/>
      <c r="D49" s="26"/>
      <c r="E49" s="27"/>
      <c r="F49" s="26"/>
      <c r="G49" s="26"/>
      <c r="H49" s="27"/>
      <c r="I49" s="26"/>
      <c r="J49" s="26"/>
      <c r="K49" s="3">
        <v>92</v>
      </c>
      <c r="L49" s="16" t="s">
        <v>114</v>
      </c>
      <c r="M49" s="17"/>
      <c r="N49"/>
      <c r="O49"/>
      <c r="P49"/>
      <c r="Q49"/>
      <c r="R49"/>
      <c r="S49"/>
      <c r="T49"/>
      <c r="U49" s="51"/>
      <c r="V49" s="51"/>
      <c r="W49" s="51"/>
      <c r="X49"/>
      <c r="Y49"/>
      <c r="Z49"/>
      <c r="AA49" s="47" t="s">
        <v>168</v>
      </c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 s="4"/>
    </row>
    <row r="50" spans="1:97" s="71" customFormat="1" ht="13.5" x14ac:dyDescent="0.25">
      <c r="A50" s="3"/>
      <c r="B50" s="15"/>
      <c r="C50" s="26"/>
      <c r="D50" s="26"/>
      <c r="E50" s="27"/>
      <c r="F50" s="26"/>
      <c r="G50" s="26"/>
      <c r="H50" s="27"/>
      <c r="I50" s="26"/>
      <c r="J50" s="26"/>
      <c r="K50" s="3">
        <v>93</v>
      </c>
      <c r="L50" s="16" t="s">
        <v>115</v>
      </c>
      <c r="M50" s="17"/>
      <c r="N50"/>
      <c r="O50"/>
      <c r="P50"/>
      <c r="Q50"/>
      <c r="R50"/>
      <c r="S50"/>
      <c r="T50"/>
      <c r="U50" s="51"/>
      <c r="V50" s="51"/>
      <c r="W50" s="51"/>
      <c r="X50"/>
      <c r="Y50"/>
      <c r="Z50"/>
      <c r="AA50" s="47" t="s">
        <v>169</v>
      </c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 s="4"/>
    </row>
    <row r="51" spans="1:97" s="71" customFormat="1" ht="13.5" x14ac:dyDescent="0.25">
      <c r="A51" s="3"/>
      <c r="B51" s="15"/>
      <c r="C51" s="26"/>
      <c r="D51" s="26"/>
      <c r="E51" s="27"/>
      <c r="F51" s="26"/>
      <c r="G51" s="26"/>
      <c r="H51" s="27"/>
      <c r="I51" s="26"/>
      <c r="J51" s="26"/>
      <c r="K51" s="3">
        <v>94</v>
      </c>
      <c r="L51" s="15" t="s">
        <v>116</v>
      </c>
      <c r="M51" s="17"/>
      <c r="N51"/>
      <c r="O51"/>
      <c r="P51"/>
      <c r="Q51"/>
      <c r="R51"/>
      <c r="S51"/>
      <c r="T51"/>
      <c r="U51" s="51"/>
      <c r="V51" s="51"/>
      <c r="W51" s="51"/>
      <c r="X51"/>
      <c r="Y51"/>
      <c r="Z51"/>
      <c r="AA51" s="47" t="s">
        <v>170</v>
      </c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 s="4"/>
    </row>
    <row r="52" spans="1:97" s="71" customFormat="1" ht="13.5" x14ac:dyDescent="0.25">
      <c r="A52" s="3"/>
      <c r="B52" s="15"/>
      <c r="C52" s="26"/>
      <c r="D52" s="26"/>
      <c r="E52" s="27"/>
      <c r="F52" s="26"/>
      <c r="G52" s="26"/>
      <c r="H52" s="27"/>
      <c r="I52" s="26"/>
      <c r="J52" s="26"/>
      <c r="K52" s="3">
        <v>95</v>
      </c>
      <c r="L52" s="16" t="s">
        <v>107</v>
      </c>
      <c r="M52" s="17"/>
      <c r="N52"/>
      <c r="O52"/>
      <c r="P52"/>
      <c r="Q52"/>
      <c r="R52"/>
      <c r="S52"/>
      <c r="T52"/>
      <c r="U52" s="51"/>
      <c r="V52" s="51"/>
      <c r="W52" s="51"/>
      <c r="X52"/>
      <c r="Y52"/>
      <c r="Z52"/>
      <c r="AA52" s="47" t="s">
        <v>171</v>
      </c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 s="4"/>
    </row>
    <row r="53" spans="1:97" ht="13.5" x14ac:dyDescent="0.25">
      <c r="C53" s="6"/>
      <c r="D53" s="6"/>
      <c r="K53" s="29">
        <v>752</v>
      </c>
      <c r="L53" s="30" t="s">
        <v>103</v>
      </c>
      <c r="M53" s="17"/>
      <c r="U53" s="51"/>
      <c r="V53" s="51"/>
      <c r="W53" s="51"/>
      <c r="AA53" s="47" t="s">
        <v>172</v>
      </c>
    </row>
    <row r="54" spans="1:97" ht="13.5" x14ac:dyDescent="0.25">
      <c r="C54" s="43"/>
      <c r="D54" s="43"/>
      <c r="E54" s="42"/>
      <c r="K54" s="29">
        <v>753</v>
      </c>
      <c r="L54" s="30" t="s">
        <v>102</v>
      </c>
      <c r="M54" s="17"/>
      <c r="U54" s="51"/>
      <c r="V54" s="51"/>
      <c r="W54" s="51"/>
      <c r="X54" s="28"/>
      <c r="AA54" s="47" t="s">
        <v>173</v>
      </c>
      <c r="AB54" s="22"/>
      <c r="AD54" s="23"/>
      <c r="AE54" s="48"/>
      <c r="AF54" s="23"/>
      <c r="BX54" s="45"/>
    </row>
    <row r="55" spans="1:97" ht="13.5" x14ac:dyDescent="0.25">
      <c r="B55" s="19"/>
      <c r="C55" s="43"/>
      <c r="D55" s="43"/>
      <c r="K55" s="29">
        <v>754</v>
      </c>
      <c r="L55" s="30" t="s">
        <v>104</v>
      </c>
      <c r="M55" s="38"/>
      <c r="U55" s="51"/>
      <c r="V55" s="51"/>
      <c r="W55" s="51"/>
      <c r="X55" s="28"/>
      <c r="AA55" s="47" t="s">
        <v>174</v>
      </c>
      <c r="AB55" s="22"/>
      <c r="AD55" s="23"/>
      <c r="AE55" s="23"/>
      <c r="AF55" s="23"/>
      <c r="BX55" s="45"/>
    </row>
    <row r="56" spans="1:97" ht="13.5" x14ac:dyDescent="0.25">
      <c r="B56" s="20"/>
      <c r="C56" s="44"/>
      <c r="D56" s="44"/>
      <c r="K56" s="3">
        <v>771</v>
      </c>
      <c r="L56" s="15" t="s">
        <v>94</v>
      </c>
      <c r="M56" s="17"/>
      <c r="U56" s="51"/>
      <c r="V56" s="51"/>
      <c r="W56" s="51"/>
      <c r="X56" s="28"/>
      <c r="AA56" s="47" t="s">
        <v>175</v>
      </c>
      <c r="AB56" s="22"/>
      <c r="AD56" s="23"/>
      <c r="AE56" s="23"/>
      <c r="AF56" s="23"/>
      <c r="BX56" s="45"/>
    </row>
    <row r="57" spans="1:97" ht="13.5" x14ac:dyDescent="0.25">
      <c r="B57" s="20"/>
      <c r="K57" s="3">
        <v>772</v>
      </c>
      <c r="L57" s="15" t="s">
        <v>95</v>
      </c>
      <c r="M57" s="17"/>
      <c r="U57" s="51"/>
      <c r="V57" s="51"/>
      <c r="W57" s="51"/>
      <c r="X57" s="28"/>
      <c r="AA57" s="47" t="s">
        <v>176</v>
      </c>
      <c r="AB57" s="22"/>
      <c r="AD57" s="23"/>
      <c r="AE57" s="23"/>
      <c r="AF57" s="23"/>
      <c r="BX57" s="45"/>
    </row>
    <row r="58" spans="1:97" ht="13.5" x14ac:dyDescent="0.25">
      <c r="B58" s="20"/>
      <c r="I58" s="17"/>
      <c r="J58" s="17"/>
      <c r="K58" s="29">
        <v>781</v>
      </c>
      <c r="L58" s="30" t="s">
        <v>96</v>
      </c>
      <c r="M58" s="17"/>
      <c r="U58" s="51"/>
      <c r="V58" s="51"/>
      <c r="W58" s="51"/>
      <c r="X58" s="28"/>
      <c r="AA58" s="47" t="s">
        <v>177</v>
      </c>
      <c r="AB58" s="22"/>
      <c r="AD58" s="23"/>
      <c r="AE58" s="23"/>
      <c r="AF58" s="23"/>
      <c r="BX58" s="45"/>
    </row>
    <row r="59" spans="1:97" ht="13.5" x14ac:dyDescent="0.25">
      <c r="B59" s="20"/>
      <c r="K59" s="29">
        <v>782</v>
      </c>
      <c r="L59" s="30" t="s">
        <v>97</v>
      </c>
      <c r="M59" s="17"/>
      <c r="U59" s="51"/>
      <c r="V59" s="51"/>
      <c r="W59" s="51"/>
      <c r="X59" s="28"/>
      <c r="AA59" s="47" t="s">
        <v>178</v>
      </c>
      <c r="AB59" s="22"/>
      <c r="BX59" s="45"/>
    </row>
    <row r="60" spans="1:97" ht="13.5" x14ac:dyDescent="0.25">
      <c r="B60" s="20"/>
      <c r="K60" s="2">
        <v>911</v>
      </c>
      <c r="L60" s="15" t="s">
        <v>92</v>
      </c>
      <c r="M60" s="17"/>
      <c r="U60" s="51"/>
      <c r="V60" s="51"/>
      <c r="W60" s="51"/>
      <c r="X60" s="28"/>
      <c r="AA60" s="47" t="s">
        <v>179</v>
      </c>
      <c r="AB60" s="22"/>
      <c r="BX60" s="45"/>
    </row>
    <row r="61" spans="1:97" ht="13.5" x14ac:dyDescent="0.25">
      <c r="B61" s="20"/>
      <c r="C61" s="19"/>
      <c r="D61" s="19"/>
      <c r="E61" s="50"/>
      <c r="K61" s="2">
        <v>912</v>
      </c>
      <c r="L61" s="15" t="s">
        <v>93</v>
      </c>
      <c r="M61" s="17"/>
      <c r="U61" s="51"/>
      <c r="V61" s="51"/>
      <c r="W61" s="51"/>
      <c r="X61" s="28"/>
      <c r="AA61" s="47" t="s">
        <v>180</v>
      </c>
      <c r="AB61" s="22"/>
      <c r="BX61" s="45"/>
    </row>
    <row r="62" spans="1:97" ht="13.5" x14ac:dyDescent="0.25">
      <c r="B62" s="20"/>
      <c r="C62" s="49"/>
      <c r="D62" s="49"/>
      <c r="E62" s="51"/>
      <c r="K62" s="29">
        <v>922</v>
      </c>
      <c r="L62" s="30" t="s">
        <v>110</v>
      </c>
      <c r="M62" s="17"/>
      <c r="U62" s="51"/>
      <c r="V62" s="51"/>
      <c r="W62" s="51"/>
      <c r="X62" s="28"/>
      <c r="AA62" s="47" t="s">
        <v>181</v>
      </c>
      <c r="AB62" s="22"/>
      <c r="BX62" s="45"/>
    </row>
    <row r="63" spans="1:97" ht="13.5" x14ac:dyDescent="0.25">
      <c r="B63" s="20"/>
      <c r="C63" s="49"/>
      <c r="D63" s="49"/>
      <c r="E63" s="51"/>
      <c r="K63" s="29">
        <v>923</v>
      </c>
      <c r="L63" s="30" t="s">
        <v>111</v>
      </c>
      <c r="M63" s="17"/>
      <c r="U63" s="51"/>
      <c r="V63" s="51"/>
      <c r="W63" s="51"/>
      <c r="X63" s="28"/>
      <c r="AA63" s="47" t="s">
        <v>182</v>
      </c>
      <c r="AB63" s="22"/>
      <c r="BX63" s="45"/>
    </row>
    <row r="64" spans="1:97" ht="13.5" x14ac:dyDescent="0.25">
      <c r="B64" s="20"/>
      <c r="C64" s="49"/>
      <c r="D64" s="49"/>
      <c r="E64" s="51"/>
      <c r="K64" s="29">
        <v>921</v>
      </c>
      <c r="L64" s="30" t="s">
        <v>109</v>
      </c>
      <c r="M64" s="17"/>
      <c r="U64" s="51"/>
      <c r="V64" s="51"/>
      <c r="W64" s="51"/>
      <c r="X64" s="28"/>
      <c r="AA64" s="47" t="s">
        <v>183</v>
      </c>
      <c r="AB64" s="22"/>
      <c r="BX64" s="45"/>
    </row>
    <row r="65" spans="2:76" ht="13.5" x14ac:dyDescent="0.25">
      <c r="B65" s="20"/>
      <c r="C65" s="49"/>
      <c r="D65" s="49"/>
      <c r="E65" s="51"/>
      <c r="K65" s="3">
        <v>932</v>
      </c>
      <c r="L65" s="15" t="s">
        <v>119</v>
      </c>
      <c r="M65" s="17"/>
      <c r="U65" s="51"/>
      <c r="V65" s="51"/>
      <c r="W65" s="51"/>
      <c r="X65" s="28"/>
      <c r="AA65" s="47" t="s">
        <v>184</v>
      </c>
      <c r="AB65" s="22"/>
      <c r="BX65" s="45"/>
    </row>
    <row r="66" spans="2:76" ht="13.5" x14ac:dyDescent="0.25">
      <c r="B66" s="20"/>
      <c r="C66" s="49"/>
      <c r="D66" s="49"/>
      <c r="E66" s="51"/>
      <c r="K66" s="3">
        <v>933</v>
      </c>
      <c r="L66" s="16" t="s">
        <v>117</v>
      </c>
      <c r="M66" s="17"/>
      <c r="X66" s="28"/>
      <c r="AA66" s="47" t="s">
        <v>185</v>
      </c>
      <c r="AB66" s="22"/>
      <c r="BX66" s="45"/>
    </row>
    <row r="67" spans="2:76" ht="13.5" x14ac:dyDescent="0.25">
      <c r="B67" s="20"/>
      <c r="C67" s="49"/>
      <c r="D67" s="49"/>
      <c r="E67" s="51"/>
      <c r="K67" s="3">
        <v>931</v>
      </c>
      <c r="L67" s="15" t="s">
        <v>118</v>
      </c>
      <c r="M67" s="17"/>
      <c r="X67" s="28"/>
      <c r="AA67" s="47" t="s">
        <v>186</v>
      </c>
      <c r="AB67" s="22"/>
      <c r="BX67" s="45"/>
    </row>
    <row r="68" spans="2:76" ht="13.5" x14ac:dyDescent="0.25">
      <c r="B68" s="20"/>
      <c r="C68" s="49"/>
      <c r="D68" s="49"/>
      <c r="E68" s="51"/>
      <c r="K68" s="29">
        <v>942</v>
      </c>
      <c r="L68" s="30" t="s">
        <v>113</v>
      </c>
      <c r="M68" s="17"/>
      <c r="X68" s="28"/>
      <c r="AA68" s="47" t="s">
        <v>187</v>
      </c>
      <c r="AB68" s="22"/>
      <c r="BX68" s="45"/>
    </row>
    <row r="69" spans="2:76" ht="13.5" x14ac:dyDescent="0.25">
      <c r="B69" s="20"/>
      <c r="C69" s="49"/>
      <c r="D69" s="49"/>
      <c r="E69" s="51"/>
      <c r="K69" s="29">
        <v>941</v>
      </c>
      <c r="L69" s="30" t="s">
        <v>112</v>
      </c>
      <c r="M69" s="17"/>
      <c r="X69" s="28"/>
      <c r="AA69" s="47" t="s">
        <v>188</v>
      </c>
      <c r="AB69" s="22"/>
      <c r="BR69" s="47"/>
      <c r="BX69" s="45"/>
    </row>
    <row r="70" spans="2:76" ht="13.5" x14ac:dyDescent="0.25">
      <c r="B70" s="20"/>
      <c r="C70" s="49"/>
      <c r="D70" s="49"/>
      <c r="E70" s="51"/>
      <c r="K70" s="3">
        <v>951</v>
      </c>
      <c r="L70" s="15" t="s">
        <v>105</v>
      </c>
      <c r="M70" s="17"/>
      <c r="X70" s="28"/>
      <c r="AA70" s="47" t="s">
        <v>189</v>
      </c>
      <c r="AB70" s="22"/>
      <c r="BX70" s="45"/>
    </row>
    <row r="71" spans="2:76" ht="13.5" x14ac:dyDescent="0.25">
      <c r="B71" s="20"/>
      <c r="C71" s="49"/>
      <c r="D71" s="49"/>
      <c r="E71" s="51"/>
      <c r="K71" s="3">
        <v>952</v>
      </c>
      <c r="L71" s="15" t="s">
        <v>106</v>
      </c>
      <c r="M71" s="17"/>
      <c r="X71" s="28"/>
      <c r="AA71" s="47" t="s">
        <v>190</v>
      </c>
      <c r="AB71" s="22"/>
      <c r="BX71" s="45"/>
    </row>
    <row r="72" spans="2:76" ht="13.5" x14ac:dyDescent="0.25">
      <c r="B72" s="20"/>
      <c r="C72" s="49"/>
      <c r="D72" s="49"/>
      <c r="E72" s="51"/>
      <c r="K72" s="53"/>
      <c r="L72" s="29"/>
      <c r="X72" s="28"/>
      <c r="AA72" s="22"/>
      <c r="AB72" s="22"/>
      <c r="BX72" s="45"/>
    </row>
    <row r="73" spans="2:76" ht="13.5" x14ac:dyDescent="0.25">
      <c r="B73" s="20"/>
      <c r="C73" s="49"/>
      <c r="D73" s="49"/>
      <c r="E73" s="51"/>
      <c r="K73" s="53"/>
      <c r="L73" s="5">
        <v>11</v>
      </c>
      <c r="M73" s="5"/>
      <c r="N73" s="17"/>
      <c r="O73" s="61"/>
      <c r="P73" s="61"/>
      <c r="X73" s="21"/>
    </row>
    <row r="74" spans="2:76" ht="13.5" x14ac:dyDescent="0.25">
      <c r="B74" s="18"/>
      <c r="C74" s="49"/>
      <c r="D74" s="49"/>
      <c r="E74" s="51"/>
      <c r="K74" s="53"/>
      <c r="L74" s="3">
        <v>75</v>
      </c>
      <c r="M74" s="15"/>
      <c r="N74" s="17"/>
      <c r="O74" s="61"/>
      <c r="P74" s="61"/>
      <c r="X74" s="21"/>
    </row>
    <row r="75" spans="2:76" ht="13.5" x14ac:dyDescent="0.25">
      <c r="B75" s="18"/>
      <c r="C75" s="49"/>
      <c r="D75" s="49"/>
      <c r="E75" s="51"/>
      <c r="K75" s="53"/>
      <c r="L75" s="3">
        <v>77</v>
      </c>
      <c r="M75" s="15"/>
      <c r="N75" s="17"/>
      <c r="O75" s="61"/>
      <c r="P75" s="61"/>
      <c r="X75" s="21"/>
    </row>
    <row r="76" spans="2:76" ht="13.5" x14ac:dyDescent="0.25">
      <c r="B76" s="18"/>
      <c r="C76" s="49"/>
      <c r="D76" s="49"/>
      <c r="E76" s="51"/>
      <c r="K76" s="53"/>
      <c r="L76" s="3">
        <v>78</v>
      </c>
      <c r="M76" s="15"/>
      <c r="N76" s="17"/>
      <c r="O76" s="61"/>
      <c r="P76" s="61"/>
    </row>
    <row r="77" spans="2:76" ht="13.5" x14ac:dyDescent="0.25">
      <c r="B77" s="18"/>
      <c r="C77" s="49"/>
      <c r="D77" s="49"/>
      <c r="E77" s="51"/>
      <c r="L77" s="3">
        <v>91</v>
      </c>
      <c r="M77" s="15"/>
      <c r="N77" s="17"/>
      <c r="O77" s="61"/>
      <c r="P77" s="61"/>
    </row>
    <row r="78" spans="2:76" ht="13.5" x14ac:dyDescent="0.25">
      <c r="B78" s="18"/>
      <c r="C78" s="49"/>
      <c r="D78" s="49"/>
      <c r="E78" s="51"/>
      <c r="L78" s="3">
        <v>92</v>
      </c>
      <c r="M78" s="16"/>
      <c r="N78" s="17"/>
      <c r="O78" s="61"/>
      <c r="P78" s="61"/>
    </row>
    <row r="79" spans="2:76" ht="13.5" x14ac:dyDescent="0.25">
      <c r="B79" s="18"/>
      <c r="C79" s="49"/>
      <c r="D79" s="49"/>
      <c r="E79" s="51"/>
      <c r="L79" s="3">
        <v>93</v>
      </c>
      <c r="M79" s="16"/>
      <c r="N79" s="17"/>
      <c r="O79" s="61"/>
      <c r="P79" s="61"/>
    </row>
    <row r="80" spans="2:76" x14ac:dyDescent="0.2">
      <c r="B80" s="18"/>
      <c r="L80" s="3">
        <v>94</v>
      </c>
      <c r="M80" s="15"/>
      <c r="N80" s="17"/>
      <c r="O80" s="61"/>
      <c r="P80" s="61"/>
    </row>
    <row r="81" spans="2:17" x14ac:dyDescent="0.2">
      <c r="B81" s="18"/>
      <c r="L81" s="3">
        <v>95</v>
      </c>
      <c r="M81" s="16"/>
      <c r="N81" s="17"/>
      <c r="O81" s="61"/>
      <c r="P81" s="61"/>
    </row>
    <row r="82" spans="2:17" ht="13.5" x14ac:dyDescent="0.25">
      <c r="B82" s="18"/>
      <c r="L82" s="56" t="s">
        <v>136</v>
      </c>
      <c r="M82" s="19"/>
      <c r="N82" s="54"/>
      <c r="O82" s="61"/>
      <c r="P82" s="61"/>
      <c r="Q82" s="63"/>
    </row>
    <row r="83" spans="2:17" ht="13.5" x14ac:dyDescent="0.25">
      <c r="B83" s="18"/>
      <c r="L83" s="57" t="s">
        <v>137</v>
      </c>
      <c r="M83" s="20"/>
      <c r="N83" s="38"/>
      <c r="O83" s="61"/>
      <c r="P83" s="61"/>
      <c r="Q83" s="63"/>
    </row>
    <row r="84" spans="2:17" ht="13.5" x14ac:dyDescent="0.25">
      <c r="B84" s="18"/>
      <c r="L84" s="57" t="s">
        <v>138</v>
      </c>
      <c r="M84" s="20"/>
      <c r="N84" s="38"/>
      <c r="O84" s="61"/>
      <c r="P84" s="61"/>
      <c r="Q84" s="63"/>
    </row>
    <row r="85" spans="2:17" ht="13.5" x14ac:dyDescent="0.25">
      <c r="B85" s="18"/>
      <c r="L85" s="57" t="s">
        <v>139</v>
      </c>
      <c r="M85" s="20"/>
      <c r="N85" s="38"/>
      <c r="O85" s="61"/>
      <c r="P85" s="61"/>
      <c r="Q85" s="63"/>
    </row>
    <row r="86" spans="2:17" ht="13.5" x14ac:dyDescent="0.25">
      <c r="B86" s="18"/>
      <c r="L86" s="57" t="s">
        <v>140</v>
      </c>
      <c r="M86" s="20"/>
      <c r="N86" s="38"/>
      <c r="O86" s="61"/>
      <c r="P86" s="61"/>
      <c r="Q86" s="63"/>
    </row>
    <row r="87" spans="2:17" ht="13.5" x14ac:dyDescent="0.25">
      <c r="B87" s="18"/>
      <c r="L87" s="57" t="s">
        <v>141</v>
      </c>
      <c r="M87" s="20"/>
      <c r="N87" s="38"/>
      <c r="O87" s="61"/>
      <c r="P87" s="61"/>
      <c r="Q87" s="63"/>
    </row>
    <row r="88" spans="2:17" ht="13.5" x14ac:dyDescent="0.25">
      <c r="B88" s="18"/>
      <c r="L88" s="57" t="s">
        <v>142</v>
      </c>
      <c r="M88" s="20"/>
      <c r="N88" s="38"/>
      <c r="O88" s="61"/>
      <c r="P88" s="61"/>
      <c r="Q88" s="63"/>
    </row>
    <row r="89" spans="2:17" ht="13.5" x14ac:dyDescent="0.25">
      <c r="B89" s="18"/>
      <c r="L89" s="57" t="s">
        <v>143</v>
      </c>
      <c r="M89" s="20"/>
      <c r="N89" s="38"/>
      <c r="O89" s="61"/>
      <c r="P89" s="61"/>
      <c r="Q89" s="63"/>
    </row>
    <row r="90" spans="2:17" ht="13.5" x14ac:dyDescent="0.25">
      <c r="B90" s="18"/>
      <c r="L90" s="57" t="s">
        <v>144</v>
      </c>
      <c r="M90" s="20"/>
      <c r="N90" s="38"/>
      <c r="O90" s="61"/>
      <c r="P90" s="61"/>
      <c r="Q90" s="63"/>
    </row>
    <row r="91" spans="2:17" ht="13.5" x14ac:dyDescent="0.25">
      <c r="L91" s="57" t="s">
        <v>145</v>
      </c>
      <c r="M91" s="20"/>
      <c r="N91" s="38"/>
      <c r="O91" s="61"/>
      <c r="P91" s="61"/>
      <c r="Q91" s="63"/>
    </row>
    <row r="92" spans="2:17" ht="13.5" x14ac:dyDescent="0.25">
      <c r="L92" s="57" t="s">
        <v>146</v>
      </c>
      <c r="M92" s="20"/>
      <c r="N92" s="38"/>
      <c r="O92" s="61"/>
      <c r="P92" s="61"/>
      <c r="Q92" s="63"/>
    </row>
    <row r="93" spans="2:17" ht="13.5" x14ac:dyDescent="0.25">
      <c r="L93" s="57" t="s">
        <v>147</v>
      </c>
      <c r="M93" s="20"/>
      <c r="N93" s="38"/>
      <c r="O93" s="61"/>
      <c r="P93" s="61"/>
      <c r="Q93" s="63"/>
    </row>
    <row r="94" spans="2:17" ht="13.5" x14ac:dyDescent="0.25">
      <c r="L94" s="57" t="s">
        <v>148</v>
      </c>
      <c r="M94" s="20"/>
      <c r="N94" s="38"/>
      <c r="O94" s="61"/>
      <c r="P94" s="61"/>
      <c r="Q94" s="63"/>
    </row>
    <row r="95" spans="2:17" ht="13.5" x14ac:dyDescent="0.25">
      <c r="L95" s="57" t="s">
        <v>151</v>
      </c>
      <c r="M95" s="20"/>
      <c r="N95" s="38"/>
      <c r="O95" s="61"/>
      <c r="P95" s="61"/>
      <c r="Q95" s="63"/>
    </row>
    <row r="96" spans="2:17" ht="13.5" x14ac:dyDescent="0.25">
      <c r="L96" s="57" t="s">
        <v>152</v>
      </c>
      <c r="M96" s="20"/>
      <c r="N96" s="38"/>
      <c r="O96" s="61"/>
      <c r="P96" s="61"/>
      <c r="Q96" s="63"/>
    </row>
    <row r="97" spans="1:22" ht="13.5" x14ac:dyDescent="0.25">
      <c r="L97" s="57" t="s">
        <v>149</v>
      </c>
      <c r="M97" s="20"/>
      <c r="N97" s="38"/>
      <c r="O97" s="61"/>
      <c r="P97" s="61"/>
      <c r="Q97" s="63"/>
    </row>
    <row r="98" spans="1:22" ht="13.5" x14ac:dyDescent="0.25">
      <c r="L98" s="57" t="s">
        <v>150</v>
      </c>
      <c r="M98" s="20"/>
      <c r="N98" s="38"/>
      <c r="O98" s="61"/>
      <c r="P98" s="61"/>
      <c r="Q98" s="63"/>
    </row>
    <row r="99" spans="1:22" ht="13.5" x14ac:dyDescent="0.25">
      <c r="L99" s="57" t="s">
        <v>153</v>
      </c>
      <c r="M99" s="20"/>
      <c r="N99" s="38"/>
      <c r="O99" s="61"/>
      <c r="P99" s="61"/>
      <c r="Q99" s="63"/>
    </row>
    <row r="100" spans="1:22" ht="13.5" x14ac:dyDescent="0.25">
      <c r="L100" s="57" t="s">
        <v>154</v>
      </c>
      <c r="M100" s="20"/>
      <c r="N100" s="38"/>
      <c r="O100" s="61"/>
      <c r="P100" s="61"/>
      <c r="Q100" s="63"/>
    </row>
    <row r="103" spans="1:22" x14ac:dyDescent="0.2">
      <c r="N103" s="6"/>
    </row>
    <row r="104" spans="1:22" ht="13.5" x14ac:dyDescent="0.25">
      <c r="A104" s="60"/>
      <c r="B104" s="59"/>
      <c r="L104" s="52" t="s">
        <v>136</v>
      </c>
      <c r="M104" s="28"/>
      <c r="N104" s="63"/>
      <c r="O104" s="6"/>
      <c r="P104" s="6"/>
      <c r="Q104" s="6"/>
      <c r="R104" s="26"/>
      <c r="S104" s="26"/>
      <c r="T104" s="62"/>
      <c r="U104" s="61"/>
      <c r="V104" s="61"/>
    </row>
    <row r="105" spans="1:22" ht="13.5" x14ac:dyDescent="0.25">
      <c r="A105" s="60"/>
      <c r="B105" s="59"/>
      <c r="L105" s="53" t="s">
        <v>137</v>
      </c>
      <c r="M105" s="58"/>
      <c r="N105" s="63"/>
      <c r="O105" s="6"/>
      <c r="P105" s="6"/>
      <c r="Q105" s="6"/>
      <c r="R105" s="26"/>
      <c r="S105" s="26"/>
      <c r="T105" s="62"/>
      <c r="U105" s="61"/>
      <c r="V105" s="61"/>
    </row>
    <row r="106" spans="1:22" ht="13.5" x14ac:dyDescent="0.25">
      <c r="A106" s="60"/>
      <c r="B106" s="59"/>
      <c r="L106" s="53" t="s">
        <v>138</v>
      </c>
      <c r="M106" s="58"/>
      <c r="N106" s="63"/>
      <c r="O106" s="6"/>
      <c r="P106" s="6"/>
      <c r="Q106" s="6"/>
      <c r="R106" s="26"/>
      <c r="S106" s="26"/>
      <c r="T106" s="62"/>
      <c r="U106" s="61"/>
      <c r="V106" s="61"/>
    </row>
    <row r="107" spans="1:22" ht="13.5" x14ac:dyDescent="0.25">
      <c r="A107" s="60"/>
      <c r="B107" s="59"/>
      <c r="L107" s="53" t="s">
        <v>139</v>
      </c>
      <c r="M107" s="58"/>
      <c r="N107" s="63"/>
      <c r="O107" s="6"/>
      <c r="P107" s="6"/>
      <c r="Q107" s="6"/>
      <c r="R107" s="26"/>
      <c r="S107" s="26"/>
      <c r="T107" s="62"/>
      <c r="U107" s="61"/>
      <c r="V107" s="61"/>
    </row>
    <row r="108" spans="1:22" ht="13.5" x14ac:dyDescent="0.25">
      <c r="A108" s="60"/>
      <c r="B108" s="59"/>
      <c r="L108" s="53" t="s">
        <v>140</v>
      </c>
      <c r="M108" s="58"/>
      <c r="N108" s="63"/>
      <c r="O108" s="6"/>
      <c r="P108" s="6"/>
      <c r="Q108" s="6"/>
      <c r="R108" s="26"/>
      <c r="S108" s="26"/>
      <c r="T108" s="62"/>
      <c r="U108" s="61"/>
      <c r="V108" s="61"/>
    </row>
    <row r="109" spans="1:22" ht="13.5" x14ac:dyDescent="0.25">
      <c r="A109" s="60"/>
      <c r="B109" s="59"/>
      <c r="L109" s="53" t="s">
        <v>141</v>
      </c>
      <c r="M109" s="58"/>
      <c r="N109" s="63"/>
      <c r="O109" s="6"/>
      <c r="P109" s="6"/>
      <c r="Q109" s="6"/>
      <c r="R109" s="26"/>
      <c r="S109" s="26"/>
      <c r="T109" s="62"/>
      <c r="U109" s="61"/>
      <c r="V109" s="61"/>
    </row>
    <row r="110" spans="1:22" ht="13.5" x14ac:dyDescent="0.25">
      <c r="A110" s="60"/>
      <c r="B110" s="59"/>
      <c r="L110" s="53" t="s">
        <v>142</v>
      </c>
      <c r="M110" s="58"/>
      <c r="N110" s="63"/>
      <c r="O110" s="6"/>
      <c r="P110" s="6"/>
      <c r="Q110" s="6"/>
      <c r="R110" s="26"/>
      <c r="S110" s="26"/>
      <c r="T110" s="62"/>
      <c r="U110" s="61"/>
      <c r="V110" s="61"/>
    </row>
    <row r="111" spans="1:22" ht="13.5" x14ac:dyDescent="0.25">
      <c r="A111" s="60"/>
      <c r="B111" s="59"/>
      <c r="L111" s="53" t="s">
        <v>143</v>
      </c>
      <c r="M111" s="58"/>
      <c r="N111" s="63"/>
      <c r="O111" s="6"/>
      <c r="P111" s="6"/>
      <c r="Q111" s="6"/>
      <c r="R111" s="26"/>
      <c r="S111" s="26"/>
      <c r="T111" s="62"/>
      <c r="U111" s="61"/>
      <c r="V111" s="61"/>
    </row>
    <row r="112" spans="1:22" ht="13.5" x14ac:dyDescent="0.25">
      <c r="A112" s="60"/>
      <c r="B112" s="59"/>
      <c r="L112" s="53" t="s">
        <v>144</v>
      </c>
      <c r="M112" s="58"/>
      <c r="N112" s="63"/>
      <c r="O112" s="6"/>
      <c r="P112" s="6"/>
      <c r="Q112" s="6"/>
      <c r="R112" s="26"/>
      <c r="S112" s="26"/>
      <c r="T112" s="62"/>
      <c r="U112" s="61"/>
      <c r="V112" s="61"/>
    </row>
    <row r="113" spans="1:22" ht="13.5" x14ac:dyDescent="0.25">
      <c r="A113" s="60"/>
      <c r="B113" s="59"/>
      <c r="L113" s="53" t="s">
        <v>145</v>
      </c>
      <c r="M113" s="58"/>
      <c r="N113" s="63"/>
      <c r="O113" s="6"/>
      <c r="P113" s="6"/>
      <c r="Q113" s="6"/>
      <c r="R113" s="26"/>
      <c r="S113" s="26"/>
      <c r="T113" s="62"/>
      <c r="U113" s="61"/>
      <c r="V113" s="61"/>
    </row>
    <row r="114" spans="1:22" ht="13.5" x14ac:dyDescent="0.25">
      <c r="A114" s="60"/>
      <c r="B114" s="59"/>
      <c r="L114" s="53" t="s">
        <v>146</v>
      </c>
      <c r="M114" s="58"/>
      <c r="N114" s="63"/>
      <c r="O114" s="6"/>
      <c r="P114" s="6"/>
      <c r="Q114" s="6"/>
      <c r="R114" s="26"/>
      <c r="S114" s="26"/>
      <c r="T114" s="62"/>
      <c r="U114" s="61"/>
      <c r="V114" s="61"/>
    </row>
    <row r="115" spans="1:22" ht="13.5" x14ac:dyDescent="0.25">
      <c r="A115" s="60"/>
      <c r="B115" s="59"/>
      <c r="L115" s="53" t="s">
        <v>147</v>
      </c>
      <c r="M115" s="58"/>
      <c r="N115" s="63"/>
      <c r="O115" s="6"/>
      <c r="P115" s="6"/>
      <c r="Q115" s="6"/>
      <c r="R115" s="26"/>
      <c r="S115" s="26"/>
      <c r="T115" s="62"/>
      <c r="U115" s="61"/>
      <c r="V115" s="61"/>
    </row>
    <row r="116" spans="1:22" ht="13.5" x14ac:dyDescent="0.25">
      <c r="A116" s="60"/>
      <c r="B116" s="59"/>
      <c r="L116" s="53" t="s">
        <v>148</v>
      </c>
      <c r="M116" s="58"/>
      <c r="N116" s="63"/>
      <c r="O116" s="6"/>
      <c r="P116" s="6"/>
      <c r="Q116" s="6"/>
      <c r="R116" s="26"/>
      <c r="S116" s="26"/>
      <c r="T116" s="62"/>
      <c r="U116" s="61"/>
      <c r="V116" s="61"/>
    </row>
    <row r="117" spans="1:22" ht="13.5" x14ac:dyDescent="0.25">
      <c r="A117" s="60"/>
      <c r="B117" s="59"/>
      <c r="L117" s="53" t="s">
        <v>149</v>
      </c>
      <c r="M117" s="58"/>
      <c r="N117" s="63"/>
      <c r="O117" s="6"/>
      <c r="P117" s="6"/>
      <c r="Q117" s="6"/>
      <c r="R117" s="26"/>
      <c r="S117" s="26"/>
      <c r="T117" s="62"/>
      <c r="U117" s="61"/>
      <c r="V117" s="61"/>
    </row>
    <row r="118" spans="1:22" ht="13.5" x14ac:dyDescent="0.25">
      <c r="A118" s="60"/>
      <c r="B118" s="59"/>
      <c r="L118" s="53" t="s">
        <v>150</v>
      </c>
      <c r="M118" s="58"/>
      <c r="N118" s="63"/>
      <c r="O118" s="6"/>
      <c r="P118" s="6"/>
      <c r="Q118" s="6"/>
      <c r="R118" s="26"/>
      <c r="S118" s="26"/>
      <c r="T118" s="62"/>
      <c r="U118" s="61"/>
      <c r="V118" s="61"/>
    </row>
    <row r="119" spans="1:22" ht="13.5" x14ac:dyDescent="0.25">
      <c r="A119" s="60"/>
      <c r="B119" s="59"/>
      <c r="L119" s="53" t="s">
        <v>151</v>
      </c>
      <c r="M119" s="58"/>
      <c r="N119" s="63"/>
      <c r="O119" s="6"/>
      <c r="P119" s="6"/>
      <c r="Q119" s="6"/>
      <c r="R119" s="26"/>
      <c r="S119" s="26"/>
      <c r="T119" s="62"/>
      <c r="U119" s="61"/>
      <c r="V119" s="61"/>
    </row>
    <row r="120" spans="1:22" ht="13.5" x14ac:dyDescent="0.25">
      <c r="A120" s="60"/>
      <c r="B120" s="59"/>
      <c r="L120" s="53" t="s">
        <v>152</v>
      </c>
      <c r="M120" s="58"/>
      <c r="N120" s="63"/>
      <c r="O120" s="6"/>
      <c r="P120" s="6"/>
      <c r="Q120" s="6"/>
      <c r="R120" s="26"/>
      <c r="S120" s="26"/>
      <c r="T120" s="62"/>
      <c r="U120" s="61"/>
      <c r="V120" s="61"/>
    </row>
    <row r="121" spans="1:22" ht="13.5" x14ac:dyDescent="0.25">
      <c r="A121" s="60"/>
      <c r="B121" s="59"/>
      <c r="L121" s="53" t="s">
        <v>153</v>
      </c>
      <c r="M121" s="58"/>
      <c r="N121" s="63"/>
      <c r="O121" s="6"/>
      <c r="P121" s="6"/>
      <c r="Q121" s="6"/>
      <c r="R121" s="26"/>
      <c r="S121" s="26"/>
      <c r="T121" s="62"/>
      <c r="U121" s="61"/>
      <c r="V121" s="61"/>
    </row>
    <row r="122" spans="1:22" ht="13.5" x14ac:dyDescent="0.25">
      <c r="A122" s="60"/>
      <c r="B122" s="59"/>
      <c r="L122" s="53" t="s">
        <v>154</v>
      </c>
      <c r="M122" s="58"/>
      <c r="N122" s="63"/>
      <c r="O122" s="6"/>
      <c r="P122" s="6"/>
      <c r="Q122" s="6"/>
      <c r="R122" s="26"/>
      <c r="S122" s="26"/>
      <c r="T122" s="62"/>
      <c r="U122" s="61"/>
      <c r="V122" s="61"/>
    </row>
    <row r="125" spans="1:22" ht="13.5" x14ac:dyDescent="0.25">
      <c r="M125" s="52"/>
      <c r="N125" s="28"/>
    </row>
    <row r="126" spans="1:22" ht="13.5" x14ac:dyDescent="0.25">
      <c r="M126" s="53"/>
      <c r="N126" s="58"/>
    </row>
    <row r="127" spans="1:22" ht="13.5" x14ac:dyDescent="0.25">
      <c r="M127" s="53"/>
      <c r="N127" s="58"/>
    </row>
    <row r="128" spans="1:22" ht="13.5" x14ac:dyDescent="0.25">
      <c r="M128" s="53"/>
      <c r="N128" s="58"/>
    </row>
    <row r="129" spans="3:14" ht="13.5" x14ac:dyDescent="0.25">
      <c r="C129" s="19"/>
      <c r="D129" s="19"/>
      <c r="E129" s="50"/>
      <c r="M129" s="53"/>
      <c r="N129" s="58"/>
    </row>
    <row r="130" spans="3:14" ht="13.5" x14ac:dyDescent="0.25">
      <c r="C130" s="19"/>
      <c r="D130" s="19"/>
      <c r="E130" s="50"/>
      <c r="M130" s="53"/>
      <c r="N130" s="58"/>
    </row>
    <row r="131" spans="3:14" ht="13.5" x14ac:dyDescent="0.25">
      <c r="C131" s="19"/>
      <c r="D131" s="19"/>
      <c r="E131" s="54"/>
      <c r="M131" s="53"/>
      <c r="N131" s="58"/>
    </row>
    <row r="132" spans="3:14" ht="13.5" x14ac:dyDescent="0.25">
      <c r="C132" s="49"/>
      <c r="D132" s="49"/>
      <c r="E132" s="55"/>
      <c r="M132" s="53"/>
      <c r="N132" s="58"/>
    </row>
    <row r="133" spans="3:14" ht="13.5" x14ac:dyDescent="0.25">
      <c r="C133" s="49"/>
      <c r="D133" s="49"/>
      <c r="E133" s="55"/>
      <c r="M133" s="53"/>
      <c r="N133" s="58"/>
    </row>
    <row r="134" spans="3:14" ht="13.5" x14ac:dyDescent="0.25">
      <c r="C134" s="49"/>
      <c r="D134" s="49"/>
      <c r="E134" s="55"/>
      <c r="M134" s="53"/>
      <c r="N134" s="58"/>
    </row>
    <row r="135" spans="3:14" ht="13.5" x14ac:dyDescent="0.25">
      <c r="C135" s="49"/>
      <c r="D135" s="49"/>
      <c r="E135" s="55"/>
      <c r="K135" s="19"/>
      <c r="L135" s="54"/>
      <c r="M135" s="54"/>
      <c r="N135" s="58"/>
    </row>
    <row r="136" spans="3:14" ht="13.5" x14ac:dyDescent="0.25">
      <c r="C136" s="49"/>
      <c r="D136" s="49"/>
      <c r="E136" s="55"/>
      <c r="K136" s="49"/>
      <c r="L136" s="55"/>
      <c r="M136" s="55"/>
      <c r="N136" s="58"/>
    </row>
    <row r="137" spans="3:14" ht="13.5" x14ac:dyDescent="0.25">
      <c r="C137" s="49"/>
      <c r="D137" s="49"/>
      <c r="E137" s="55"/>
      <c r="K137" s="49"/>
      <c r="L137" s="55"/>
      <c r="M137" s="55"/>
      <c r="N137" s="58"/>
    </row>
    <row r="138" spans="3:14" ht="13.5" x14ac:dyDescent="0.25">
      <c r="C138" s="49"/>
      <c r="D138" s="49"/>
      <c r="E138" s="55"/>
      <c r="K138" s="49"/>
      <c r="L138" s="55"/>
      <c r="M138" s="55"/>
      <c r="N138" s="58"/>
    </row>
    <row r="139" spans="3:14" ht="13.5" x14ac:dyDescent="0.25">
      <c r="C139" s="49"/>
      <c r="D139" s="49"/>
      <c r="E139" s="55"/>
      <c r="K139" s="49"/>
      <c r="L139" s="55"/>
      <c r="M139" s="55"/>
      <c r="N139" s="58"/>
    </row>
    <row r="140" spans="3:14" ht="13.5" x14ac:dyDescent="0.25">
      <c r="C140" s="49"/>
      <c r="D140" s="49"/>
      <c r="E140" s="55"/>
      <c r="K140" s="49"/>
      <c r="L140" s="55"/>
      <c r="M140" s="55"/>
      <c r="N140" s="58"/>
    </row>
    <row r="141" spans="3:14" ht="13.5" x14ac:dyDescent="0.25">
      <c r="C141" s="49"/>
      <c r="D141" s="49"/>
      <c r="E141" s="55"/>
      <c r="K141" s="49"/>
      <c r="L141" s="55"/>
      <c r="M141" s="55"/>
      <c r="N141" s="58"/>
    </row>
    <row r="142" spans="3:14" ht="13.5" x14ac:dyDescent="0.25">
      <c r="C142" s="49"/>
      <c r="D142" s="49"/>
      <c r="E142" s="55"/>
      <c r="K142" s="49"/>
      <c r="L142" s="55"/>
      <c r="M142" s="55"/>
      <c r="N142" s="58"/>
    </row>
    <row r="143" spans="3:14" ht="13.5" x14ac:dyDescent="0.25">
      <c r="C143" s="49"/>
      <c r="D143" s="49"/>
      <c r="E143" s="55"/>
      <c r="K143" s="49"/>
      <c r="L143" s="55"/>
      <c r="M143" s="55"/>
      <c r="N143" s="58"/>
    </row>
    <row r="144" spans="3:14" ht="13.5" x14ac:dyDescent="0.25">
      <c r="C144" s="49"/>
      <c r="D144" s="49"/>
      <c r="E144" s="55"/>
      <c r="K144" s="49"/>
      <c r="L144" s="55"/>
      <c r="M144" s="55"/>
    </row>
    <row r="145" spans="3:13" ht="13.5" x14ac:dyDescent="0.25">
      <c r="C145" s="49"/>
      <c r="D145" s="49"/>
      <c r="E145" s="55"/>
      <c r="K145" s="49"/>
      <c r="L145" s="55"/>
      <c r="M145" s="55"/>
    </row>
    <row r="146" spans="3:13" ht="13.5" x14ac:dyDescent="0.25">
      <c r="C146" s="49"/>
      <c r="D146" s="49"/>
      <c r="E146" s="55"/>
      <c r="K146" s="49"/>
      <c r="L146" s="55"/>
      <c r="M146" s="55"/>
    </row>
    <row r="147" spans="3:13" ht="13.5" x14ac:dyDescent="0.25">
      <c r="C147" s="49"/>
      <c r="D147" s="49"/>
      <c r="E147" s="55"/>
      <c r="K147" s="49"/>
      <c r="L147" s="55"/>
      <c r="M147" s="55"/>
    </row>
    <row r="148" spans="3:13" ht="13.5" x14ac:dyDescent="0.25">
      <c r="C148" s="49"/>
      <c r="D148" s="49"/>
      <c r="E148" s="55"/>
      <c r="K148" s="49"/>
      <c r="L148" s="55"/>
      <c r="M148" s="55"/>
    </row>
    <row r="149" spans="3:13" ht="13.5" x14ac:dyDescent="0.25">
      <c r="C149" s="49"/>
      <c r="D149" s="49"/>
      <c r="E149" s="55"/>
      <c r="K149" s="49"/>
      <c r="L149" s="55"/>
      <c r="M149" s="55"/>
    </row>
    <row r="150" spans="3:13" ht="13.5" x14ac:dyDescent="0.25">
      <c r="C150" s="49"/>
      <c r="D150" s="49"/>
      <c r="E150" s="55"/>
      <c r="K150" s="49"/>
      <c r="L150" s="55"/>
      <c r="M150" s="55"/>
    </row>
    <row r="151" spans="3:13" ht="13.5" x14ac:dyDescent="0.25">
      <c r="C151" s="49"/>
      <c r="D151" s="49"/>
      <c r="E151" s="55"/>
      <c r="K151" s="49"/>
      <c r="L151" s="55"/>
      <c r="M151" s="55"/>
    </row>
    <row r="152" spans="3:13" ht="13.5" x14ac:dyDescent="0.25">
      <c r="C152" s="49"/>
      <c r="D152" s="49"/>
      <c r="E152" s="55"/>
      <c r="K152" s="49"/>
      <c r="L152" s="55"/>
      <c r="M152" s="55"/>
    </row>
    <row r="153" spans="3:13" ht="13.5" x14ac:dyDescent="0.25">
      <c r="C153" s="49"/>
      <c r="D153" s="49"/>
      <c r="E153" s="55"/>
      <c r="K153" s="49"/>
      <c r="L153" s="55"/>
      <c r="M153" s="55"/>
    </row>
    <row r="154" spans="3:13" ht="13.5" x14ac:dyDescent="0.25">
      <c r="C154" s="49"/>
      <c r="D154" s="49"/>
      <c r="E154" s="55"/>
      <c r="K154" s="49"/>
      <c r="L154" s="55"/>
      <c r="M154" s="55"/>
    </row>
    <row r="155" spans="3:13" ht="13.5" x14ac:dyDescent="0.25">
      <c r="K155" s="49"/>
      <c r="L155" s="55"/>
      <c r="M155" s="55"/>
    </row>
    <row r="156" spans="3:13" ht="13.5" x14ac:dyDescent="0.25">
      <c r="K156" s="49"/>
      <c r="L156" s="55"/>
      <c r="M156" s="55"/>
    </row>
    <row r="157" spans="3:13" ht="13.5" x14ac:dyDescent="0.25">
      <c r="K157" s="49"/>
      <c r="L157" s="55"/>
      <c r="M157" s="55"/>
    </row>
    <row r="158" spans="3:13" ht="13.5" x14ac:dyDescent="0.25">
      <c r="K158" s="49"/>
      <c r="L158" s="55"/>
      <c r="M158" s="55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G40"/>
  <sheetViews>
    <sheetView topLeftCell="A3" zoomScale="115" zoomScaleNormal="115" workbookViewId="0">
      <selection activeCell="B5" sqref="B5"/>
    </sheetView>
  </sheetViews>
  <sheetFormatPr baseColWidth="10" defaultRowHeight="237" customHeight="1" x14ac:dyDescent="0.2"/>
  <cols>
    <col min="1" max="1" width="5.5703125" style="1" customWidth="1"/>
    <col min="2" max="2" width="33" style="1" customWidth="1"/>
    <col min="3" max="3" width="57.28515625" style="1" customWidth="1"/>
    <col min="4" max="4" width="25.42578125" style="1" bestFit="1" customWidth="1"/>
    <col min="5" max="16384" width="11.42578125" style="1"/>
  </cols>
  <sheetData>
    <row r="1" spans="1:7" ht="237" customHeight="1" x14ac:dyDescent="0.2">
      <c r="A1" s="1">
        <v>21</v>
      </c>
      <c r="B1" s="1" t="s">
        <v>77</v>
      </c>
      <c r="E1" s="110" t="s">
        <v>217</v>
      </c>
      <c r="G1" s="7"/>
    </row>
    <row r="2" spans="1:7" ht="237" customHeight="1" x14ac:dyDescent="0.2">
      <c r="A2" s="1">
        <v>11</v>
      </c>
      <c r="B2" s="1" t="s">
        <v>0</v>
      </c>
      <c r="D2" s="1" t="s">
        <v>91</v>
      </c>
      <c r="E2" s="110" t="s">
        <v>217</v>
      </c>
      <c r="G2" s="5"/>
    </row>
    <row r="3" spans="1:7" ht="237" customHeight="1" x14ac:dyDescent="0.2">
      <c r="A3" s="110"/>
      <c r="B3" s="110" t="s">
        <v>218</v>
      </c>
      <c r="E3" s="110"/>
      <c r="G3" s="5"/>
    </row>
    <row r="4" spans="1:7" ht="237" customHeight="1" x14ac:dyDescent="0.2">
      <c r="A4" s="110" t="s">
        <v>204</v>
      </c>
      <c r="B4" s="110" t="s">
        <v>203</v>
      </c>
      <c r="D4" s="110"/>
      <c r="E4" s="110"/>
      <c r="G4" s="5"/>
    </row>
    <row r="5" spans="1:7" ht="237" customHeight="1" x14ac:dyDescent="0.2">
      <c r="A5" s="1">
        <v>75</v>
      </c>
      <c r="B5" s="1" t="s">
        <v>98</v>
      </c>
      <c r="D5" s="1" t="s">
        <v>108</v>
      </c>
      <c r="E5" s="110" t="s">
        <v>217</v>
      </c>
      <c r="G5" s="79"/>
    </row>
    <row r="6" spans="1:7" ht="237" customHeight="1" x14ac:dyDescent="0.2">
      <c r="A6" s="1">
        <v>77</v>
      </c>
      <c r="B6" s="1" t="s">
        <v>99</v>
      </c>
      <c r="D6" s="1" t="s">
        <v>108</v>
      </c>
      <c r="E6" s="110" t="s">
        <v>217</v>
      </c>
      <c r="G6" s="15"/>
    </row>
    <row r="7" spans="1:7" ht="237" customHeight="1" x14ac:dyDescent="0.2">
      <c r="A7" s="1">
        <v>78</v>
      </c>
      <c r="B7" s="1" t="s">
        <v>100</v>
      </c>
      <c r="D7" s="1" t="s">
        <v>108</v>
      </c>
      <c r="E7" s="110" t="s">
        <v>217</v>
      </c>
      <c r="G7" s="15"/>
    </row>
    <row r="8" spans="1:7" ht="237" customHeight="1" x14ac:dyDescent="0.2">
      <c r="A8" s="1">
        <v>91</v>
      </c>
      <c r="B8" s="1" t="s">
        <v>101</v>
      </c>
      <c r="D8" s="1" t="s">
        <v>108</v>
      </c>
      <c r="E8" s="110" t="s">
        <v>217</v>
      </c>
      <c r="G8" s="15"/>
    </row>
    <row r="9" spans="1:7" ht="237" customHeight="1" x14ac:dyDescent="0.2">
      <c r="A9" s="1">
        <v>92</v>
      </c>
      <c r="B9" s="1" t="s">
        <v>114</v>
      </c>
      <c r="D9" s="1" t="s">
        <v>108</v>
      </c>
      <c r="E9" s="110" t="s">
        <v>217</v>
      </c>
      <c r="G9" s="15"/>
    </row>
    <row r="10" spans="1:7" ht="237" customHeight="1" x14ac:dyDescent="0.2">
      <c r="A10" s="1">
        <v>93</v>
      </c>
      <c r="B10" s="1" t="s">
        <v>115</v>
      </c>
      <c r="D10" s="1" t="s">
        <v>108</v>
      </c>
      <c r="E10" s="110" t="s">
        <v>217</v>
      </c>
      <c r="G10" s="16"/>
    </row>
    <row r="11" spans="1:7" ht="237" customHeight="1" x14ac:dyDescent="0.2">
      <c r="A11" s="1">
        <v>94</v>
      </c>
      <c r="B11" s="1" t="s">
        <v>116</v>
      </c>
      <c r="D11" s="1" t="s">
        <v>108</v>
      </c>
      <c r="E11" s="110" t="s">
        <v>217</v>
      </c>
      <c r="G11" s="16"/>
    </row>
    <row r="12" spans="1:7" ht="237" customHeight="1" x14ac:dyDescent="0.2">
      <c r="A12" s="1">
        <v>95</v>
      </c>
      <c r="B12" s="1" t="s">
        <v>107</v>
      </c>
      <c r="D12" s="1" t="s">
        <v>108</v>
      </c>
      <c r="E12" s="110" t="s">
        <v>217</v>
      </c>
      <c r="G12" s="15"/>
    </row>
    <row r="13" spans="1:7" ht="237" customHeight="1" x14ac:dyDescent="0.2">
      <c r="A13" s="110" t="s">
        <v>204</v>
      </c>
      <c r="B13" s="110" t="s">
        <v>205</v>
      </c>
      <c r="E13" s="110"/>
      <c r="G13" s="15"/>
    </row>
    <row r="14" spans="1:7" ht="237" customHeight="1" x14ac:dyDescent="0.2">
      <c r="A14" s="1">
        <v>1115</v>
      </c>
      <c r="B14" s="1" t="s">
        <v>170</v>
      </c>
      <c r="D14" s="1" t="s">
        <v>108</v>
      </c>
      <c r="E14" s="110" t="s">
        <v>216</v>
      </c>
      <c r="G14" s="16"/>
    </row>
    <row r="15" spans="1:7" ht="237" customHeight="1" x14ac:dyDescent="0.2">
      <c r="A15" s="1">
        <v>1116</v>
      </c>
      <c r="B15" s="1" t="s">
        <v>171</v>
      </c>
      <c r="D15" s="1" t="s">
        <v>108</v>
      </c>
      <c r="E15" s="110" t="s">
        <v>216</v>
      </c>
      <c r="G15" s="16"/>
    </row>
    <row r="16" spans="1:7" ht="237" customHeight="1" x14ac:dyDescent="0.2">
      <c r="A16" s="1">
        <v>1152</v>
      </c>
      <c r="B16" s="1" t="s">
        <v>190</v>
      </c>
      <c r="D16" s="1" t="s">
        <v>108</v>
      </c>
      <c r="E16" s="110" t="s">
        <v>216</v>
      </c>
      <c r="G16" s="80"/>
    </row>
    <row r="17" spans="1:7" ht="237" customHeight="1" x14ac:dyDescent="0.2">
      <c r="A17" s="1">
        <v>1117</v>
      </c>
      <c r="B17" s="1" t="s">
        <v>172</v>
      </c>
      <c r="D17" s="1" t="s">
        <v>108</v>
      </c>
      <c r="E17" s="110" t="s">
        <v>216</v>
      </c>
      <c r="G17" s="30"/>
    </row>
    <row r="18" spans="1:7" ht="237" customHeight="1" x14ac:dyDescent="0.2">
      <c r="A18" s="1">
        <v>1109</v>
      </c>
      <c r="B18" s="1" t="s">
        <v>169</v>
      </c>
      <c r="D18" s="1" t="s">
        <v>108</v>
      </c>
      <c r="E18" s="110" t="s">
        <v>216</v>
      </c>
      <c r="G18" s="30"/>
    </row>
    <row r="19" spans="1:7" ht="237" customHeight="1" x14ac:dyDescent="0.2">
      <c r="A19" s="1">
        <v>1127</v>
      </c>
      <c r="B19" s="1" t="s">
        <v>178</v>
      </c>
      <c r="D19" s="1" t="s">
        <v>108</v>
      </c>
      <c r="E19" s="110" t="s">
        <v>216</v>
      </c>
      <c r="G19" s="30"/>
    </row>
    <row r="20" spans="1:7" ht="237" customHeight="1" x14ac:dyDescent="0.2">
      <c r="A20" s="1">
        <v>1118</v>
      </c>
      <c r="B20" s="1" t="s">
        <v>173</v>
      </c>
      <c r="D20" s="1" t="s">
        <v>108</v>
      </c>
      <c r="E20" s="110" t="s">
        <v>216</v>
      </c>
      <c r="G20" s="15"/>
    </row>
    <row r="21" spans="1:7" ht="237" customHeight="1" x14ac:dyDescent="0.2">
      <c r="A21" s="1">
        <v>1119</v>
      </c>
      <c r="B21" s="1" t="s">
        <v>174</v>
      </c>
      <c r="D21" s="1" t="s">
        <v>108</v>
      </c>
      <c r="E21" s="110" t="s">
        <v>216</v>
      </c>
      <c r="G21" s="15"/>
    </row>
    <row r="22" spans="1:7" ht="237" customHeight="1" x14ac:dyDescent="0.2">
      <c r="A22" s="1">
        <v>1125</v>
      </c>
      <c r="B22" s="1" t="s">
        <v>176</v>
      </c>
      <c r="D22" s="1" t="s">
        <v>108</v>
      </c>
      <c r="E22" s="110" t="s">
        <v>216</v>
      </c>
      <c r="G22" s="30"/>
    </row>
    <row r="23" spans="1:7" ht="237" customHeight="1" x14ac:dyDescent="0.2">
      <c r="A23" s="1">
        <v>1108</v>
      </c>
      <c r="B23" s="1" t="s">
        <v>168</v>
      </c>
      <c r="D23" s="1" t="s">
        <v>108</v>
      </c>
      <c r="E23" s="110" t="s">
        <v>216</v>
      </c>
      <c r="G23" s="30"/>
    </row>
    <row r="24" spans="1:7" ht="237" customHeight="1" x14ac:dyDescent="0.2">
      <c r="A24" s="1">
        <v>1128</v>
      </c>
      <c r="B24" s="1" t="s">
        <v>179</v>
      </c>
      <c r="D24" s="1" t="s">
        <v>108</v>
      </c>
      <c r="E24" s="110" t="s">
        <v>216</v>
      </c>
      <c r="G24" s="15"/>
    </row>
    <row r="25" spans="1:7" ht="237" customHeight="1" x14ac:dyDescent="0.2">
      <c r="A25" s="1">
        <v>1124</v>
      </c>
      <c r="B25" s="1" t="s">
        <v>175</v>
      </c>
      <c r="D25" s="1" t="s">
        <v>108</v>
      </c>
      <c r="E25" s="110" t="s">
        <v>216</v>
      </c>
      <c r="G25" s="15"/>
    </row>
    <row r="26" spans="1:7" ht="237" customHeight="1" x14ac:dyDescent="0.2">
      <c r="A26" s="1">
        <v>1107</v>
      </c>
      <c r="B26" s="1" t="s">
        <v>167</v>
      </c>
      <c r="D26" s="1" t="s">
        <v>108</v>
      </c>
      <c r="E26" s="110" t="s">
        <v>216</v>
      </c>
      <c r="G26" s="30"/>
    </row>
    <row r="27" spans="1:7" ht="237" customHeight="1" x14ac:dyDescent="0.2">
      <c r="A27" s="1">
        <v>1151</v>
      </c>
      <c r="B27" s="1" t="s">
        <v>189</v>
      </c>
      <c r="D27" s="1" t="s">
        <v>108</v>
      </c>
      <c r="E27" s="110" t="s">
        <v>216</v>
      </c>
      <c r="G27" s="30"/>
    </row>
    <row r="28" spans="1:7" ht="237" customHeight="1" x14ac:dyDescent="0.2">
      <c r="A28" s="1">
        <v>1150</v>
      </c>
      <c r="B28" s="1" t="s">
        <v>188</v>
      </c>
      <c r="D28" s="1" t="s">
        <v>108</v>
      </c>
      <c r="E28" s="110" t="s">
        <v>216</v>
      </c>
      <c r="G28" s="30"/>
    </row>
    <row r="29" spans="1:7" ht="237" customHeight="1" x14ac:dyDescent="0.2">
      <c r="A29" s="1">
        <v>1129</v>
      </c>
      <c r="B29" s="1" t="s">
        <v>180</v>
      </c>
      <c r="D29" s="1" t="s">
        <v>108</v>
      </c>
      <c r="E29" s="110" t="s">
        <v>216</v>
      </c>
      <c r="G29" s="15"/>
    </row>
    <row r="30" spans="1:7" ht="237" customHeight="1" x14ac:dyDescent="0.2">
      <c r="A30" s="1">
        <v>1137</v>
      </c>
      <c r="B30" s="1" t="s">
        <v>181</v>
      </c>
      <c r="D30" s="1" t="s">
        <v>108</v>
      </c>
      <c r="E30" s="110" t="s">
        <v>216</v>
      </c>
      <c r="G30" s="16"/>
    </row>
    <row r="31" spans="1:7" ht="237" customHeight="1" x14ac:dyDescent="0.2">
      <c r="A31" s="1">
        <v>1139</v>
      </c>
      <c r="B31" s="1" t="s">
        <v>183</v>
      </c>
      <c r="D31" s="1" t="s">
        <v>108</v>
      </c>
      <c r="E31" s="110" t="s">
        <v>216</v>
      </c>
      <c r="G31" s="15"/>
    </row>
    <row r="32" spans="1:7" ht="237" customHeight="1" x14ac:dyDescent="0.2">
      <c r="A32" s="1">
        <v>1146</v>
      </c>
      <c r="B32" s="1" t="s">
        <v>184</v>
      </c>
      <c r="D32" s="1" t="s">
        <v>108</v>
      </c>
      <c r="E32" s="110" t="s">
        <v>216</v>
      </c>
      <c r="G32" s="30"/>
    </row>
    <row r="33" spans="1:7" ht="237" customHeight="1" x14ac:dyDescent="0.2">
      <c r="A33" s="1">
        <v>1138</v>
      </c>
      <c r="B33" s="1" t="s">
        <v>182</v>
      </c>
      <c r="D33" s="1" t="s">
        <v>108</v>
      </c>
      <c r="E33" s="110" t="s">
        <v>216</v>
      </c>
      <c r="G33" s="30"/>
    </row>
    <row r="34" spans="1:7" ht="237" customHeight="1" x14ac:dyDescent="0.2">
      <c r="A34" s="1">
        <v>1147</v>
      </c>
      <c r="B34" s="1" t="s">
        <v>185</v>
      </c>
      <c r="D34" s="1" t="s">
        <v>108</v>
      </c>
      <c r="E34" s="110" t="s">
        <v>216</v>
      </c>
      <c r="G34" s="15"/>
    </row>
    <row r="35" spans="1:7" ht="237" customHeight="1" x14ac:dyDescent="0.2">
      <c r="A35" s="1">
        <v>1148</v>
      </c>
      <c r="B35" s="1" t="s">
        <v>186</v>
      </c>
      <c r="D35" s="1" t="s">
        <v>108</v>
      </c>
      <c r="E35" s="110" t="s">
        <v>216</v>
      </c>
      <c r="G35" s="15"/>
    </row>
    <row r="36" spans="1:7" ht="237" customHeight="1" x14ac:dyDescent="0.2">
      <c r="A36" s="1">
        <v>1149</v>
      </c>
      <c r="B36" s="1" t="s">
        <v>187</v>
      </c>
      <c r="D36" s="1" t="s">
        <v>108</v>
      </c>
      <c r="E36" s="110" t="s">
        <v>216</v>
      </c>
      <c r="G36" s="15"/>
    </row>
    <row r="37" spans="1:7" ht="237" customHeight="1" x14ac:dyDescent="0.2">
      <c r="A37" s="1">
        <v>1126</v>
      </c>
      <c r="B37" s="1" t="s">
        <v>177</v>
      </c>
      <c r="D37" s="1" t="s">
        <v>108</v>
      </c>
      <c r="E37" s="110" t="s">
        <v>216</v>
      </c>
      <c r="G37" s="15"/>
    </row>
    <row r="38" spans="1:7" ht="237" customHeight="1" x14ac:dyDescent="0.2">
      <c r="G38" s="15"/>
    </row>
    <row r="39" spans="1:7" ht="237" customHeight="1" x14ac:dyDescent="0.2">
      <c r="G39" s="15"/>
    </row>
    <row r="40" spans="1:7" ht="237" customHeight="1" x14ac:dyDescent="0.2">
      <c r="G40" s="15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B8" sqref="B8"/>
    </sheetView>
  </sheetViews>
  <sheetFormatPr baseColWidth="10" defaultRowHeight="12.75" x14ac:dyDescent="0.2"/>
  <cols>
    <col min="1" max="1" width="3" bestFit="1" customWidth="1"/>
    <col min="2" max="2" width="22.5703125" bestFit="1" customWidth="1"/>
  </cols>
  <sheetData>
    <row r="1" spans="1:2" x14ac:dyDescent="0.2">
      <c r="A1">
        <v>1</v>
      </c>
      <c r="B1" t="s">
        <v>91</v>
      </c>
    </row>
    <row r="2" spans="1:2" x14ac:dyDescent="0.2">
      <c r="A2">
        <v>2</v>
      </c>
      <c r="B2" t="s">
        <v>108</v>
      </c>
    </row>
    <row r="3" spans="1:2" x14ac:dyDescent="0.2">
      <c r="A3">
        <v>3</v>
      </c>
      <c r="B3" s="111" t="s">
        <v>218</v>
      </c>
    </row>
    <row r="4" spans="1:2" x14ac:dyDescent="0.2">
      <c r="A4">
        <v>4</v>
      </c>
      <c r="B4" s="111" t="s">
        <v>203</v>
      </c>
    </row>
    <row r="5" spans="1:2" x14ac:dyDescent="0.2">
      <c r="A5">
        <v>5</v>
      </c>
      <c r="B5" t="s">
        <v>98</v>
      </c>
    </row>
    <row r="6" spans="1:2" x14ac:dyDescent="0.2">
      <c r="A6">
        <v>6</v>
      </c>
      <c r="B6" t="s">
        <v>99</v>
      </c>
    </row>
    <row r="7" spans="1:2" x14ac:dyDescent="0.2">
      <c r="A7">
        <v>7</v>
      </c>
      <c r="B7" t="s">
        <v>100</v>
      </c>
    </row>
    <row r="8" spans="1:2" x14ac:dyDescent="0.2">
      <c r="A8">
        <v>8</v>
      </c>
      <c r="B8" t="s">
        <v>101</v>
      </c>
    </row>
    <row r="9" spans="1:2" x14ac:dyDescent="0.2">
      <c r="A9">
        <v>9</v>
      </c>
      <c r="B9" t="s">
        <v>114</v>
      </c>
    </row>
    <row r="10" spans="1:2" x14ac:dyDescent="0.2">
      <c r="A10">
        <v>10</v>
      </c>
      <c r="B10" t="s">
        <v>115</v>
      </c>
    </row>
    <row r="11" spans="1:2" x14ac:dyDescent="0.2">
      <c r="A11">
        <v>11</v>
      </c>
      <c r="B11" t="s">
        <v>116</v>
      </c>
    </row>
    <row r="12" spans="1:2" x14ac:dyDescent="0.2">
      <c r="A12">
        <v>12</v>
      </c>
      <c r="B12" t="s">
        <v>107</v>
      </c>
    </row>
    <row r="13" spans="1:2" x14ac:dyDescent="0.2">
      <c r="A13">
        <v>13</v>
      </c>
      <c r="B13" s="111" t="s">
        <v>218</v>
      </c>
    </row>
    <row r="14" spans="1:2" x14ac:dyDescent="0.2">
      <c r="A14">
        <v>14</v>
      </c>
      <c r="B14" t="s">
        <v>205</v>
      </c>
    </row>
    <row r="15" spans="1:2" x14ac:dyDescent="0.2">
      <c r="A15">
        <v>15</v>
      </c>
      <c r="B15" t="s">
        <v>167</v>
      </c>
    </row>
    <row r="16" spans="1:2" x14ac:dyDescent="0.2">
      <c r="A16">
        <v>16</v>
      </c>
      <c r="B16" t="s">
        <v>168</v>
      </c>
    </row>
    <row r="17" spans="1:2" x14ac:dyDescent="0.2">
      <c r="A17">
        <v>17</v>
      </c>
      <c r="B17" t="s">
        <v>169</v>
      </c>
    </row>
    <row r="18" spans="1:2" x14ac:dyDescent="0.2">
      <c r="A18">
        <v>18</v>
      </c>
      <c r="B18" t="s">
        <v>170</v>
      </c>
    </row>
    <row r="19" spans="1:2" x14ac:dyDescent="0.2">
      <c r="A19">
        <v>19</v>
      </c>
      <c r="B19" t="s">
        <v>171</v>
      </c>
    </row>
    <row r="20" spans="1:2" x14ac:dyDescent="0.2">
      <c r="A20">
        <v>20</v>
      </c>
      <c r="B20" t="s">
        <v>172</v>
      </c>
    </row>
    <row r="21" spans="1:2" x14ac:dyDescent="0.2">
      <c r="A21">
        <v>21</v>
      </c>
      <c r="B21" t="s">
        <v>173</v>
      </c>
    </row>
    <row r="22" spans="1:2" x14ac:dyDescent="0.2">
      <c r="A22">
        <v>22</v>
      </c>
      <c r="B22" t="s">
        <v>174</v>
      </c>
    </row>
    <row r="23" spans="1:2" x14ac:dyDescent="0.2">
      <c r="A23">
        <v>23</v>
      </c>
      <c r="B23" t="s">
        <v>175</v>
      </c>
    </row>
    <row r="24" spans="1:2" x14ac:dyDescent="0.2">
      <c r="A24">
        <v>24</v>
      </c>
      <c r="B24" t="s">
        <v>176</v>
      </c>
    </row>
    <row r="25" spans="1:2" x14ac:dyDescent="0.2">
      <c r="A25">
        <v>25</v>
      </c>
      <c r="B25" t="s">
        <v>177</v>
      </c>
    </row>
    <row r="26" spans="1:2" x14ac:dyDescent="0.2">
      <c r="A26">
        <v>26</v>
      </c>
      <c r="B26" t="s">
        <v>178</v>
      </c>
    </row>
    <row r="27" spans="1:2" x14ac:dyDescent="0.2">
      <c r="A27">
        <v>27</v>
      </c>
      <c r="B27" t="s">
        <v>179</v>
      </c>
    </row>
    <row r="28" spans="1:2" x14ac:dyDescent="0.2">
      <c r="A28">
        <v>28</v>
      </c>
      <c r="B28" t="s">
        <v>180</v>
      </c>
    </row>
    <row r="29" spans="1:2" x14ac:dyDescent="0.2">
      <c r="A29">
        <v>29</v>
      </c>
      <c r="B29" t="s">
        <v>181</v>
      </c>
    </row>
    <row r="30" spans="1:2" x14ac:dyDescent="0.2">
      <c r="A30">
        <v>30</v>
      </c>
      <c r="B30" t="s">
        <v>182</v>
      </c>
    </row>
    <row r="31" spans="1:2" x14ac:dyDescent="0.2">
      <c r="A31">
        <v>31</v>
      </c>
      <c r="B31" t="s">
        <v>183</v>
      </c>
    </row>
    <row r="32" spans="1:2" x14ac:dyDescent="0.2">
      <c r="A32">
        <v>32</v>
      </c>
      <c r="B32" t="s">
        <v>184</v>
      </c>
    </row>
    <row r="33" spans="1:2" x14ac:dyDescent="0.2">
      <c r="A33">
        <v>33</v>
      </c>
      <c r="B33" t="s">
        <v>185</v>
      </c>
    </row>
    <row r="34" spans="1:2" x14ac:dyDescent="0.2">
      <c r="A34">
        <v>34</v>
      </c>
      <c r="B34" t="s">
        <v>186</v>
      </c>
    </row>
    <row r="35" spans="1:2" x14ac:dyDescent="0.2">
      <c r="A35">
        <v>35</v>
      </c>
      <c r="B35" t="s">
        <v>187</v>
      </c>
    </row>
    <row r="36" spans="1:2" x14ac:dyDescent="0.2">
      <c r="A36">
        <v>36</v>
      </c>
      <c r="B36" t="s">
        <v>188</v>
      </c>
    </row>
    <row r="37" spans="1:2" x14ac:dyDescent="0.2">
      <c r="A37">
        <v>37</v>
      </c>
      <c r="B37" t="s">
        <v>189</v>
      </c>
    </row>
    <row r="38" spans="1:2" x14ac:dyDescent="0.2">
      <c r="A38">
        <v>38</v>
      </c>
      <c r="B38" t="s">
        <v>190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"/>
  <sheetViews>
    <sheetView workbookViewId="0">
      <selection activeCell="L13" sqref="L13"/>
    </sheetView>
  </sheetViews>
  <sheetFormatPr baseColWidth="10" defaultRowHeight="12.75" x14ac:dyDescent="0.2"/>
  <cols>
    <col min="1" max="1" width="25.42578125" bestFit="1" customWidth="1"/>
  </cols>
  <sheetData>
    <row r="1" spans="1:1" ht="15.75" customHeight="1" x14ac:dyDescent="0.2">
      <c r="A1" s="1" t="s">
        <v>77</v>
      </c>
    </row>
    <row r="2" spans="1:1" ht="15.75" customHeight="1" x14ac:dyDescent="0.2">
      <c r="A2" s="1" t="s">
        <v>0</v>
      </c>
    </row>
    <row r="3" spans="1:1" ht="15.75" customHeight="1" x14ac:dyDescent="0.2">
      <c r="A3" s="1" t="s">
        <v>98</v>
      </c>
    </row>
    <row r="4" spans="1:1" ht="15.75" customHeight="1" x14ac:dyDescent="0.2">
      <c r="A4" s="1" t="s">
        <v>99</v>
      </c>
    </row>
    <row r="5" spans="1:1" ht="15.75" customHeight="1" x14ac:dyDescent="0.2">
      <c r="A5" s="1" t="s">
        <v>100</v>
      </c>
    </row>
    <row r="6" spans="1:1" ht="15.75" customHeight="1" x14ac:dyDescent="0.2">
      <c r="A6" s="1" t="s">
        <v>101</v>
      </c>
    </row>
    <row r="7" spans="1:1" ht="15.75" customHeight="1" x14ac:dyDescent="0.2">
      <c r="A7" s="1" t="s">
        <v>114</v>
      </c>
    </row>
    <row r="8" spans="1:1" ht="15.75" customHeight="1" x14ac:dyDescent="0.2">
      <c r="A8" s="1" t="s">
        <v>115</v>
      </c>
    </row>
    <row r="9" spans="1:1" ht="15.75" customHeight="1" x14ac:dyDescent="0.2">
      <c r="A9" s="1" t="s">
        <v>116</v>
      </c>
    </row>
    <row r="10" spans="1:1" ht="15.75" customHeight="1" x14ac:dyDescent="0.2">
      <c r="A10" s="1" t="s">
        <v>107</v>
      </c>
    </row>
    <row r="11" spans="1:1" ht="15.75" customHeight="1" x14ac:dyDescent="0.2">
      <c r="A11" s="1" t="s">
        <v>170</v>
      </c>
    </row>
    <row r="12" spans="1:1" ht="15.75" customHeight="1" x14ac:dyDescent="0.2">
      <c r="A12" s="1" t="s">
        <v>171</v>
      </c>
    </row>
    <row r="13" spans="1:1" ht="15.75" customHeight="1" x14ac:dyDescent="0.2">
      <c r="A13" s="1" t="s">
        <v>190</v>
      </c>
    </row>
    <row r="14" spans="1:1" ht="15.75" customHeight="1" x14ac:dyDescent="0.2">
      <c r="A14" s="1" t="s">
        <v>172</v>
      </c>
    </row>
    <row r="15" spans="1:1" ht="15.75" customHeight="1" x14ac:dyDescent="0.2">
      <c r="A15" s="1" t="s">
        <v>169</v>
      </c>
    </row>
    <row r="16" spans="1:1" ht="15.75" customHeight="1" x14ac:dyDescent="0.2">
      <c r="A16" s="1" t="s">
        <v>178</v>
      </c>
    </row>
    <row r="17" spans="1:1" ht="15.75" customHeight="1" x14ac:dyDescent="0.2">
      <c r="A17" s="1" t="s">
        <v>173</v>
      </c>
    </row>
    <row r="18" spans="1:1" ht="15.75" customHeight="1" x14ac:dyDescent="0.2">
      <c r="A18" s="1" t="s">
        <v>174</v>
      </c>
    </row>
    <row r="19" spans="1:1" ht="15.75" customHeight="1" x14ac:dyDescent="0.2">
      <c r="A19" s="1" t="s">
        <v>176</v>
      </c>
    </row>
    <row r="20" spans="1:1" ht="15.75" customHeight="1" x14ac:dyDescent="0.2">
      <c r="A20" s="1" t="s">
        <v>168</v>
      </c>
    </row>
    <row r="21" spans="1:1" ht="15.75" customHeight="1" x14ac:dyDescent="0.2">
      <c r="A21" s="1" t="s">
        <v>179</v>
      </c>
    </row>
    <row r="22" spans="1:1" ht="15.75" customHeight="1" x14ac:dyDescent="0.2">
      <c r="A22" s="1" t="s">
        <v>175</v>
      </c>
    </row>
    <row r="23" spans="1:1" ht="15.75" customHeight="1" x14ac:dyDescent="0.2">
      <c r="A23" s="1" t="s">
        <v>167</v>
      </c>
    </row>
    <row r="24" spans="1:1" ht="15.75" customHeight="1" x14ac:dyDescent="0.2">
      <c r="A24" s="1" t="s">
        <v>189</v>
      </c>
    </row>
    <row r="25" spans="1:1" ht="15.75" customHeight="1" x14ac:dyDescent="0.2">
      <c r="A25" s="1" t="s">
        <v>188</v>
      </c>
    </row>
    <row r="26" spans="1:1" ht="15.75" customHeight="1" x14ac:dyDescent="0.2">
      <c r="A26" s="1" t="s">
        <v>180</v>
      </c>
    </row>
    <row r="27" spans="1:1" ht="15.75" customHeight="1" x14ac:dyDescent="0.2">
      <c r="A27" s="1" t="s">
        <v>181</v>
      </c>
    </row>
    <row r="28" spans="1:1" ht="15.75" customHeight="1" x14ac:dyDescent="0.2">
      <c r="A28" s="1" t="s">
        <v>183</v>
      </c>
    </row>
    <row r="29" spans="1:1" ht="15.75" customHeight="1" x14ac:dyDescent="0.2">
      <c r="A29" s="1" t="s">
        <v>184</v>
      </c>
    </row>
    <row r="30" spans="1:1" ht="15.75" customHeight="1" x14ac:dyDescent="0.2">
      <c r="A30" s="1" t="s">
        <v>182</v>
      </c>
    </row>
    <row r="31" spans="1:1" ht="15.75" customHeight="1" x14ac:dyDescent="0.2">
      <c r="A31" s="1" t="s">
        <v>185</v>
      </c>
    </row>
    <row r="32" spans="1:1" ht="15.75" customHeight="1" x14ac:dyDescent="0.2">
      <c r="A32" s="1" t="s">
        <v>186</v>
      </c>
    </row>
    <row r="33" spans="1:1" ht="15.75" customHeight="1" x14ac:dyDescent="0.2">
      <c r="A33" s="1" t="s">
        <v>187</v>
      </c>
    </row>
    <row r="34" spans="1:1" ht="15.75" customHeight="1" x14ac:dyDescent="0.2">
      <c r="A34" s="1" t="s">
        <v>177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"/>
  <sheetViews>
    <sheetView workbookViewId="0">
      <selection activeCell="V3" sqref="V3"/>
    </sheetView>
  </sheetViews>
  <sheetFormatPr baseColWidth="10" defaultRowHeight="12.75" x14ac:dyDescent="0.2"/>
  <sheetData>
    <row r="1" spans="1:10" x14ac:dyDescent="0.2">
      <c r="A1" t="s">
        <v>238</v>
      </c>
      <c r="B1" t="s">
        <v>239</v>
      </c>
      <c r="C1" t="s">
        <v>240</v>
      </c>
      <c r="D1" t="s">
        <v>241</v>
      </c>
      <c r="E1" t="s">
        <v>242</v>
      </c>
      <c r="F1" t="s">
        <v>243</v>
      </c>
      <c r="G1" t="s">
        <v>244</v>
      </c>
      <c r="H1" t="s">
        <v>245</v>
      </c>
      <c r="I1" t="s">
        <v>246</v>
      </c>
      <c r="J1" t="s">
        <v>247</v>
      </c>
    </row>
    <row r="2" spans="1:10" x14ac:dyDescent="0.2">
      <c r="A2" t="s">
        <v>248</v>
      </c>
      <c r="B2" t="s">
        <v>249</v>
      </c>
      <c r="C2" t="s">
        <v>250</v>
      </c>
      <c r="D2" t="s">
        <v>125</v>
      </c>
      <c r="E2">
        <v>1</v>
      </c>
      <c r="F2">
        <v>8968.2799630015652</v>
      </c>
      <c r="G2">
        <v>6349.9032847044473</v>
      </c>
      <c r="H2">
        <v>212.75649612872681</v>
      </c>
      <c r="I2">
        <v>0.70804026088623784</v>
      </c>
      <c r="J2">
        <v>6.2863594670193503</v>
      </c>
    </row>
    <row r="3" spans="1:10" x14ac:dyDescent="0.2">
      <c r="A3" t="s">
        <v>248</v>
      </c>
      <c r="B3" t="s">
        <v>251</v>
      </c>
      <c r="C3" t="s">
        <v>252</v>
      </c>
      <c r="D3" t="s">
        <v>131</v>
      </c>
      <c r="E3">
        <v>2</v>
      </c>
      <c r="F3">
        <v>8337.5864804600169</v>
      </c>
      <c r="G3">
        <v>786.55288886698031</v>
      </c>
      <c r="H3">
        <v>4544.1064340914563</v>
      </c>
      <c r="I3">
        <v>9.433819855546291E-2</v>
      </c>
      <c r="J3">
        <v>5.8442718023702742</v>
      </c>
    </row>
    <row r="4" spans="1:10" x14ac:dyDescent="0.2">
      <c r="A4" t="s">
        <v>248</v>
      </c>
      <c r="B4" t="s">
        <v>253</v>
      </c>
      <c r="C4" t="s">
        <v>254</v>
      </c>
      <c r="D4" t="s">
        <v>128</v>
      </c>
      <c r="E4">
        <v>3</v>
      </c>
      <c r="F4">
        <v>6842.7403844195815</v>
      </c>
      <c r="G4">
        <v>1591.1931562832972</v>
      </c>
      <c r="H4">
        <v>675.45005825584121</v>
      </c>
      <c r="I4">
        <v>0.23253741438244938</v>
      </c>
      <c r="J4">
        <v>4.7964521595459644</v>
      </c>
    </row>
    <row r="5" spans="1:10" x14ac:dyDescent="0.2">
      <c r="A5" t="s">
        <v>248</v>
      </c>
      <c r="B5" t="s">
        <v>255</v>
      </c>
      <c r="C5" t="s">
        <v>256</v>
      </c>
      <c r="D5" t="s">
        <v>50</v>
      </c>
      <c r="E5">
        <v>4</v>
      </c>
      <c r="F5">
        <v>6614.1308132902932</v>
      </c>
      <c r="G5">
        <v>1439.9040470866812</v>
      </c>
      <c r="H5">
        <v>1518.115902284213</v>
      </c>
      <c r="I5">
        <v>0.21770117461138941</v>
      </c>
      <c r="J5">
        <v>4.6362071685723727</v>
      </c>
    </row>
    <row r="6" spans="1:10" x14ac:dyDescent="0.2">
      <c r="A6" t="s">
        <v>248</v>
      </c>
      <c r="B6" t="s">
        <v>257</v>
      </c>
      <c r="C6" t="s">
        <v>258</v>
      </c>
      <c r="D6" t="s">
        <v>129</v>
      </c>
      <c r="E6">
        <v>5</v>
      </c>
      <c r="F6">
        <v>5628.3362155383638</v>
      </c>
      <c r="G6">
        <v>2446.406396738596</v>
      </c>
      <c r="H6">
        <v>1015.5372141308943</v>
      </c>
      <c r="I6">
        <v>0.43465889439666167</v>
      </c>
      <c r="J6">
        <v>3.9452096497972895</v>
      </c>
    </row>
    <row r="7" spans="1:10" x14ac:dyDescent="0.2">
      <c r="A7" t="s">
        <v>248</v>
      </c>
      <c r="B7" t="s">
        <v>259</v>
      </c>
      <c r="C7" t="s">
        <v>260</v>
      </c>
      <c r="D7" t="s">
        <v>47</v>
      </c>
      <c r="E7">
        <v>6</v>
      </c>
      <c r="F7">
        <v>4214.227717602269</v>
      </c>
      <c r="G7">
        <v>2049.8620556122328</v>
      </c>
      <c r="H7">
        <v>99.617811372344619</v>
      </c>
      <c r="I7">
        <v>0.48641463940124341</v>
      </c>
      <c r="J7">
        <v>2.9539834191190657</v>
      </c>
    </row>
    <row r="8" spans="1:10" x14ac:dyDescent="0.2">
      <c r="A8" t="s">
        <v>248</v>
      </c>
      <c r="B8" t="s">
        <v>261</v>
      </c>
      <c r="C8" t="s">
        <v>262</v>
      </c>
      <c r="D8" t="s">
        <v>44</v>
      </c>
      <c r="E8">
        <v>7</v>
      </c>
      <c r="F8">
        <v>4014.7139393799921</v>
      </c>
      <c r="G8">
        <v>1467.8921277664595</v>
      </c>
      <c r="H8">
        <v>514.54953178083565</v>
      </c>
      <c r="I8">
        <v>0.3656280746102552</v>
      </c>
      <c r="J8">
        <v>2.8141332657225786</v>
      </c>
    </row>
    <row r="9" spans="1:10" x14ac:dyDescent="0.2">
      <c r="A9" t="s">
        <v>248</v>
      </c>
      <c r="B9" t="s">
        <v>263</v>
      </c>
      <c r="C9" t="s">
        <v>264</v>
      </c>
      <c r="D9" t="s">
        <v>51</v>
      </c>
      <c r="E9">
        <v>8</v>
      </c>
      <c r="F9">
        <v>3716.4257816913318</v>
      </c>
      <c r="G9">
        <v>708.02196396946965</v>
      </c>
      <c r="H9">
        <v>2054.8586063665598</v>
      </c>
      <c r="I9">
        <v>0.19051153058335835</v>
      </c>
      <c r="J9">
        <v>2.6050467305428402</v>
      </c>
    </row>
    <row r="10" spans="1:10" x14ac:dyDescent="0.2">
      <c r="A10" t="s">
        <v>248</v>
      </c>
      <c r="B10" t="s">
        <v>265</v>
      </c>
      <c r="C10" t="s">
        <v>266</v>
      </c>
      <c r="D10" t="s">
        <v>48</v>
      </c>
      <c r="E10">
        <v>9</v>
      </c>
      <c r="F10">
        <v>3362.6994605945692</v>
      </c>
      <c r="G10">
        <v>1508.0383834827958</v>
      </c>
      <c r="H10">
        <v>1257.7754565975706</v>
      </c>
      <c r="I10">
        <v>0.44846064929518109</v>
      </c>
      <c r="J10">
        <v>2.3571005450385765</v>
      </c>
    </row>
    <row r="11" spans="1:10" x14ac:dyDescent="0.2">
      <c r="A11" t="s">
        <v>248</v>
      </c>
      <c r="B11" s="111" t="s">
        <v>545</v>
      </c>
      <c r="C11" t="s">
        <v>267</v>
      </c>
      <c r="D11" t="s">
        <v>192</v>
      </c>
      <c r="E11">
        <v>10</v>
      </c>
      <c r="F11">
        <v>3311.7101714153068</v>
      </c>
      <c r="G11">
        <v>1705.5470376386768</v>
      </c>
      <c r="H11">
        <v>523.4720677407422</v>
      </c>
      <c r="I11">
        <v>0.5150049217349798</v>
      </c>
      <c r="J11">
        <v>2.3213593547466798</v>
      </c>
    </row>
    <row r="12" spans="1:10" x14ac:dyDescent="0.2">
      <c r="A12" t="s">
        <v>268</v>
      </c>
      <c r="B12" t="s">
        <v>269</v>
      </c>
      <c r="C12" t="s">
        <v>270</v>
      </c>
      <c r="D12" t="s">
        <v>55</v>
      </c>
      <c r="E12">
        <v>1</v>
      </c>
      <c r="F12">
        <v>217.63460894064224</v>
      </c>
      <c r="G12">
        <v>15</v>
      </c>
      <c r="H12">
        <v>4</v>
      </c>
      <c r="I12">
        <v>6.8922861455785772E-2</v>
      </c>
      <c r="J12">
        <v>6.7048566990926988</v>
      </c>
    </row>
    <row r="13" spans="1:10" x14ac:dyDescent="0.2">
      <c r="A13" t="s">
        <v>268</v>
      </c>
      <c r="B13" t="s">
        <v>271</v>
      </c>
      <c r="C13" t="s">
        <v>258</v>
      </c>
      <c r="D13" t="s">
        <v>129</v>
      </c>
      <c r="E13">
        <v>2</v>
      </c>
      <c r="F13">
        <v>186.49526224724093</v>
      </c>
      <c r="G13">
        <v>141.38099829730064</v>
      </c>
      <c r="H13">
        <v>121.63237243037992</v>
      </c>
      <c r="I13">
        <v>0.75809431614337042</v>
      </c>
      <c r="J13">
        <v>5.7455200462556215</v>
      </c>
    </row>
    <row r="14" spans="1:10" x14ac:dyDescent="0.2">
      <c r="A14" t="s">
        <v>268</v>
      </c>
      <c r="B14" t="s">
        <v>272</v>
      </c>
      <c r="C14" t="s">
        <v>273</v>
      </c>
      <c r="D14" t="s">
        <v>132</v>
      </c>
      <c r="E14">
        <v>3</v>
      </c>
      <c r="F14">
        <v>161.70844588788748</v>
      </c>
      <c r="G14">
        <v>96.370366172167863</v>
      </c>
      <c r="H14">
        <v>53.269507835543919</v>
      </c>
      <c r="I14">
        <v>0.59595134714844433</v>
      </c>
      <c r="J14">
        <v>4.9818912625564318</v>
      </c>
    </row>
    <row r="15" spans="1:10" x14ac:dyDescent="0.2">
      <c r="A15" t="s">
        <v>268</v>
      </c>
      <c r="B15" t="s">
        <v>274</v>
      </c>
      <c r="C15" t="s">
        <v>275</v>
      </c>
      <c r="D15" t="s">
        <v>130</v>
      </c>
      <c r="E15">
        <v>4</v>
      </c>
      <c r="F15">
        <v>161.35164190274025</v>
      </c>
      <c r="G15">
        <v>134.3195336944691</v>
      </c>
      <c r="H15">
        <v>0</v>
      </c>
      <c r="I15">
        <v>0.83246462267445909</v>
      </c>
      <c r="J15">
        <v>4.970898895112108</v>
      </c>
    </row>
    <row r="16" spans="1:10" x14ac:dyDescent="0.2">
      <c r="A16" t="s">
        <v>268</v>
      </c>
      <c r="B16" t="s">
        <v>276</v>
      </c>
      <c r="C16" t="s">
        <v>254</v>
      </c>
      <c r="D16" t="s">
        <v>128</v>
      </c>
      <c r="E16">
        <v>5</v>
      </c>
      <c r="F16">
        <v>124.07982026028367</v>
      </c>
      <c r="G16">
        <v>53.648427314980708</v>
      </c>
      <c r="H16">
        <v>33.752130116423153</v>
      </c>
      <c r="I16">
        <v>0.43237028553427775</v>
      </c>
      <c r="J16">
        <v>3.8226338087674461</v>
      </c>
    </row>
    <row r="17" spans="1:10" x14ac:dyDescent="0.2">
      <c r="A17" t="s">
        <v>268</v>
      </c>
      <c r="B17" t="s">
        <v>277</v>
      </c>
      <c r="C17" t="s">
        <v>278</v>
      </c>
      <c r="D17" t="s">
        <v>231</v>
      </c>
      <c r="E17">
        <v>6</v>
      </c>
      <c r="F17">
        <v>107.70498503814056</v>
      </c>
      <c r="G17">
        <v>28.568328346046854</v>
      </c>
      <c r="H17">
        <v>98.182208922791602</v>
      </c>
      <c r="I17">
        <v>0.26524611034419826</v>
      </c>
      <c r="J17">
        <v>3.3181601675109227</v>
      </c>
    </row>
    <row r="18" spans="1:10" x14ac:dyDescent="0.2">
      <c r="A18" t="s">
        <v>268</v>
      </c>
      <c r="B18" t="s">
        <v>279</v>
      </c>
      <c r="C18" t="s">
        <v>280</v>
      </c>
      <c r="D18" t="s">
        <v>232</v>
      </c>
      <c r="E18">
        <v>7</v>
      </c>
      <c r="F18">
        <v>93.565699480594532</v>
      </c>
      <c r="G18">
        <v>6.5058140163859024</v>
      </c>
      <c r="H18">
        <v>0</v>
      </c>
      <c r="I18">
        <v>6.9532040614255275E-2</v>
      </c>
      <c r="J18">
        <v>2.8825590287382128</v>
      </c>
    </row>
    <row r="19" spans="1:10" x14ac:dyDescent="0.2">
      <c r="A19" t="s">
        <v>268</v>
      </c>
      <c r="B19" t="s">
        <v>281</v>
      </c>
      <c r="C19" t="s">
        <v>282</v>
      </c>
      <c r="D19" t="s">
        <v>233</v>
      </c>
      <c r="E19">
        <v>8</v>
      </c>
      <c r="F19">
        <v>85.00346482254065</v>
      </c>
      <c r="G19">
        <v>0</v>
      </c>
      <c r="H19">
        <v>40.551577042381759</v>
      </c>
      <c r="J19">
        <v>2.6187748967672086</v>
      </c>
    </row>
    <row r="20" spans="1:10" x14ac:dyDescent="0.2">
      <c r="A20" t="s">
        <v>268</v>
      </c>
      <c r="B20" t="s">
        <v>283</v>
      </c>
      <c r="C20" t="s">
        <v>284</v>
      </c>
      <c r="D20" t="s">
        <v>124</v>
      </c>
      <c r="E20">
        <v>9</v>
      </c>
      <c r="F20">
        <v>80.983292670371384</v>
      </c>
      <c r="G20">
        <v>30.30868605242021</v>
      </c>
      <c r="H20">
        <v>0</v>
      </c>
      <c r="I20">
        <v>0.37425850509421149</v>
      </c>
      <c r="J20">
        <v>2.4949219934207116</v>
      </c>
    </row>
    <row r="21" spans="1:10" x14ac:dyDescent="0.2">
      <c r="A21" t="s">
        <v>268</v>
      </c>
      <c r="B21" s="111" t="s">
        <v>546</v>
      </c>
      <c r="C21" t="s">
        <v>285</v>
      </c>
      <c r="D21" t="s">
        <v>234</v>
      </c>
      <c r="E21">
        <v>10</v>
      </c>
      <c r="F21">
        <v>75.074811698172994</v>
      </c>
      <c r="G21">
        <v>69.684142634808225</v>
      </c>
      <c r="H21">
        <v>5.3906690633647658</v>
      </c>
      <c r="I21">
        <v>0.92819603617472735</v>
      </c>
      <c r="J21">
        <v>2.3128943351326363</v>
      </c>
    </row>
    <row r="22" spans="1:10" x14ac:dyDescent="0.2">
      <c r="A22" t="s">
        <v>286</v>
      </c>
      <c r="B22" t="s">
        <v>287</v>
      </c>
      <c r="C22" t="s">
        <v>288</v>
      </c>
      <c r="D22" t="s">
        <v>157</v>
      </c>
      <c r="E22">
        <v>1</v>
      </c>
      <c r="F22">
        <v>210.13193961581851</v>
      </c>
      <c r="G22">
        <v>47.577042931883433</v>
      </c>
      <c r="H22">
        <v>210.13193961581851</v>
      </c>
      <c r="I22">
        <v>0.22641509433962262</v>
      </c>
      <c r="J22">
        <v>6.7263024537207929</v>
      </c>
    </row>
    <row r="23" spans="1:10" x14ac:dyDescent="0.2">
      <c r="A23" t="s">
        <v>286</v>
      </c>
      <c r="B23" t="s">
        <v>289</v>
      </c>
      <c r="C23" t="s">
        <v>270</v>
      </c>
      <c r="D23" t="s">
        <v>55</v>
      </c>
      <c r="E23">
        <v>2</v>
      </c>
      <c r="F23">
        <v>158.43753288440593</v>
      </c>
      <c r="G23">
        <v>13.775013153762364</v>
      </c>
      <c r="H23">
        <v>0</v>
      </c>
      <c r="I23">
        <v>8.6942865765351471E-2</v>
      </c>
      <c r="J23">
        <v>5.0715696440543576</v>
      </c>
    </row>
    <row r="24" spans="1:10" x14ac:dyDescent="0.2">
      <c r="A24" t="s">
        <v>286</v>
      </c>
      <c r="B24" t="s">
        <v>290</v>
      </c>
      <c r="C24" t="s">
        <v>291</v>
      </c>
      <c r="D24" t="s">
        <v>43</v>
      </c>
      <c r="E24">
        <v>3</v>
      </c>
      <c r="F24">
        <v>131.97697960414538</v>
      </c>
      <c r="G24">
        <v>41.827171192460895</v>
      </c>
      <c r="H24">
        <v>14.19789391315407</v>
      </c>
      <c r="I24">
        <v>0.31692778026833329</v>
      </c>
      <c r="J24">
        <v>4.2245699695582868</v>
      </c>
    </row>
    <row r="25" spans="1:10" x14ac:dyDescent="0.2">
      <c r="A25" t="s">
        <v>286</v>
      </c>
      <c r="B25" t="s">
        <v>292</v>
      </c>
      <c r="C25" t="s">
        <v>275</v>
      </c>
      <c r="D25" t="s">
        <v>130</v>
      </c>
      <c r="E25">
        <v>4</v>
      </c>
      <c r="F25">
        <v>130.9963933810813</v>
      </c>
      <c r="G25">
        <v>124.36026754396941</v>
      </c>
      <c r="H25">
        <v>0</v>
      </c>
      <c r="I25">
        <v>0.94934115615071357</v>
      </c>
      <c r="J25">
        <v>4.1931815022441814</v>
      </c>
    </row>
    <row r="26" spans="1:10" x14ac:dyDescent="0.2">
      <c r="A26" t="s">
        <v>286</v>
      </c>
      <c r="B26" t="s">
        <v>293</v>
      </c>
      <c r="C26" t="s">
        <v>294</v>
      </c>
      <c r="D26" t="s">
        <v>123</v>
      </c>
      <c r="E26">
        <v>5</v>
      </c>
      <c r="F26">
        <v>129.91508426229015</v>
      </c>
      <c r="G26">
        <v>86.516294686972856</v>
      </c>
      <c r="H26">
        <v>0</v>
      </c>
      <c r="I26">
        <v>0.66594495303025825</v>
      </c>
      <c r="J26">
        <v>4.1585689050718848</v>
      </c>
    </row>
    <row r="27" spans="1:10" x14ac:dyDescent="0.2">
      <c r="A27" t="s">
        <v>286</v>
      </c>
      <c r="B27" t="s">
        <v>295</v>
      </c>
      <c r="C27" t="s">
        <v>296</v>
      </c>
      <c r="D27" t="s">
        <v>235</v>
      </c>
      <c r="E27">
        <v>6</v>
      </c>
      <c r="F27">
        <v>114.69016075634461</v>
      </c>
      <c r="G27">
        <v>46.949207570179233</v>
      </c>
      <c r="H27">
        <v>37.112746094117171</v>
      </c>
      <c r="I27">
        <v>0.40935689043039397</v>
      </c>
      <c r="J27">
        <v>3.6712206203561819</v>
      </c>
    </row>
    <row r="28" spans="1:10" x14ac:dyDescent="0.2">
      <c r="A28" t="s">
        <v>286</v>
      </c>
      <c r="B28" t="s">
        <v>297</v>
      </c>
      <c r="C28" t="s">
        <v>298</v>
      </c>
      <c r="D28" t="s">
        <v>54</v>
      </c>
      <c r="E28">
        <v>7</v>
      </c>
      <c r="F28">
        <v>95.231388793466479</v>
      </c>
      <c r="G28">
        <v>90.462965447464057</v>
      </c>
      <c r="H28">
        <v>0</v>
      </c>
      <c r="I28">
        <v>0.94992802891550854</v>
      </c>
      <c r="J28">
        <v>3.0483472683108102</v>
      </c>
    </row>
    <row r="29" spans="1:10" x14ac:dyDescent="0.2">
      <c r="A29" t="s">
        <v>286</v>
      </c>
      <c r="B29" t="s">
        <v>299</v>
      </c>
      <c r="C29" t="s">
        <v>300</v>
      </c>
      <c r="D29" t="s">
        <v>236</v>
      </c>
      <c r="E29">
        <v>8</v>
      </c>
      <c r="F29">
        <v>94.621233396049846</v>
      </c>
      <c r="G29">
        <v>15</v>
      </c>
      <c r="H29">
        <v>46</v>
      </c>
      <c r="I29">
        <v>0.15852678581366078</v>
      </c>
      <c r="J29">
        <v>3.028816254823294</v>
      </c>
    </row>
    <row r="30" spans="1:10" x14ac:dyDescent="0.2">
      <c r="A30" t="s">
        <v>286</v>
      </c>
      <c r="B30" t="s">
        <v>301</v>
      </c>
      <c r="C30" t="s">
        <v>302</v>
      </c>
      <c r="D30" t="s">
        <v>49</v>
      </c>
      <c r="E30">
        <v>9</v>
      </c>
      <c r="F30">
        <v>89.068578544799863</v>
      </c>
      <c r="G30">
        <v>51.894808254640225</v>
      </c>
      <c r="H30">
        <v>59.444475787789941</v>
      </c>
      <c r="I30">
        <v>0.58263878353619492</v>
      </c>
      <c r="J30">
        <v>2.8510763261912553</v>
      </c>
    </row>
    <row r="31" spans="1:10" x14ac:dyDescent="0.2">
      <c r="A31" t="s">
        <v>286</v>
      </c>
      <c r="B31" s="111" t="s">
        <v>547</v>
      </c>
      <c r="C31" t="s">
        <v>273</v>
      </c>
      <c r="D31" t="s">
        <v>132</v>
      </c>
      <c r="E31">
        <v>10</v>
      </c>
      <c r="F31">
        <v>81.216411199475488</v>
      </c>
      <c r="G31">
        <v>54.671907851027974</v>
      </c>
      <c r="H31">
        <v>0</v>
      </c>
      <c r="I31">
        <v>0.67316330583419148</v>
      </c>
      <c r="J31">
        <v>2.5997292317017431</v>
      </c>
    </row>
    <row r="32" spans="1:10" x14ac:dyDescent="0.2">
      <c r="A32" t="s">
        <v>303</v>
      </c>
      <c r="B32" t="s">
        <v>304</v>
      </c>
      <c r="C32" t="s">
        <v>254</v>
      </c>
      <c r="D32" t="s">
        <v>128</v>
      </c>
      <c r="E32">
        <v>1</v>
      </c>
      <c r="F32">
        <v>216.47308723037213</v>
      </c>
      <c r="G32">
        <v>120.45756699229716</v>
      </c>
      <c r="H32">
        <v>43.454588619699123</v>
      </c>
      <c r="I32">
        <v>0.55645516278014462</v>
      </c>
      <c r="J32">
        <v>5.6599507587885274</v>
      </c>
    </row>
    <row r="33" spans="1:10" x14ac:dyDescent="0.2">
      <c r="A33" t="s">
        <v>303</v>
      </c>
      <c r="B33" t="s">
        <v>305</v>
      </c>
      <c r="C33" t="s">
        <v>270</v>
      </c>
      <c r="D33" t="s">
        <v>55</v>
      </c>
      <c r="E33">
        <v>2</v>
      </c>
      <c r="F33">
        <v>188.17330605878382</v>
      </c>
      <c r="G33">
        <v>15.475711498688707</v>
      </c>
      <c r="H33">
        <v>0</v>
      </c>
      <c r="I33">
        <v>8.2241800512630733E-2</v>
      </c>
      <c r="J33">
        <v>4.9200187424579207</v>
      </c>
    </row>
    <row r="34" spans="1:10" x14ac:dyDescent="0.2">
      <c r="A34" t="s">
        <v>303</v>
      </c>
      <c r="B34" t="s">
        <v>306</v>
      </c>
      <c r="C34" t="s">
        <v>273</v>
      </c>
      <c r="D34" t="s">
        <v>132</v>
      </c>
      <c r="E34">
        <v>3</v>
      </c>
      <c r="F34">
        <v>152.72032949929914</v>
      </c>
      <c r="G34">
        <v>62.164184096028428</v>
      </c>
      <c r="H34">
        <v>21.007203321630008</v>
      </c>
      <c r="I34">
        <v>0.40704590082955333</v>
      </c>
      <c r="J34">
        <v>3.9930577786424917</v>
      </c>
    </row>
    <row r="35" spans="1:10" x14ac:dyDescent="0.2">
      <c r="A35" t="s">
        <v>303</v>
      </c>
      <c r="B35" t="s">
        <v>307</v>
      </c>
      <c r="C35" t="s">
        <v>291</v>
      </c>
      <c r="D35" t="s">
        <v>43</v>
      </c>
      <c r="E35">
        <v>4</v>
      </c>
      <c r="F35">
        <v>151.75105825439971</v>
      </c>
      <c r="G35">
        <v>7.8120782263964381</v>
      </c>
      <c r="H35">
        <v>16.600358938624492</v>
      </c>
      <c r="I35">
        <v>5.1479563412994804E-2</v>
      </c>
      <c r="J35">
        <v>3.967715009302291</v>
      </c>
    </row>
    <row r="36" spans="1:10" x14ac:dyDescent="0.2">
      <c r="A36" t="s">
        <v>303</v>
      </c>
      <c r="B36" t="s">
        <v>308</v>
      </c>
      <c r="C36" t="s">
        <v>309</v>
      </c>
      <c r="D36" t="s">
        <v>53</v>
      </c>
      <c r="E36">
        <v>5</v>
      </c>
      <c r="F36">
        <v>150</v>
      </c>
      <c r="G36">
        <v>50</v>
      </c>
      <c r="H36">
        <v>0</v>
      </c>
      <c r="I36">
        <v>0.33333333333333331</v>
      </c>
      <c r="J36">
        <v>3.9219314727783012</v>
      </c>
    </row>
    <row r="37" spans="1:10" x14ac:dyDescent="0.2">
      <c r="A37" t="s">
        <v>303</v>
      </c>
      <c r="B37" t="s">
        <v>310</v>
      </c>
      <c r="C37" t="s">
        <v>311</v>
      </c>
      <c r="D37" t="s">
        <v>191</v>
      </c>
      <c r="E37">
        <v>6</v>
      </c>
      <c r="F37">
        <v>122.44315033521393</v>
      </c>
      <c r="G37">
        <v>48.507309811987412</v>
      </c>
      <c r="H37">
        <v>15.883416129836391</v>
      </c>
      <c r="I37">
        <v>0.39616188965400212</v>
      </c>
      <c r="J37">
        <v>3.2014242995053368</v>
      </c>
    </row>
    <row r="38" spans="1:10" x14ac:dyDescent="0.2">
      <c r="A38" t="s">
        <v>303</v>
      </c>
      <c r="B38" t="s">
        <v>312</v>
      </c>
      <c r="C38" t="s">
        <v>256</v>
      </c>
      <c r="D38" t="s">
        <v>50</v>
      </c>
      <c r="E38">
        <v>7</v>
      </c>
      <c r="F38">
        <v>101.62312996338801</v>
      </c>
      <c r="G38">
        <v>27.392664919479696</v>
      </c>
      <c r="H38">
        <v>64.147508939907311</v>
      </c>
      <c r="I38">
        <v>0.26955147838241661</v>
      </c>
      <c r="J38">
        <v>2.6570596784376739</v>
      </c>
    </row>
    <row r="39" spans="1:10" x14ac:dyDescent="0.2">
      <c r="A39" t="s">
        <v>303</v>
      </c>
      <c r="B39" t="s">
        <v>313</v>
      </c>
      <c r="C39" t="s">
        <v>275</v>
      </c>
      <c r="D39" t="s">
        <v>130</v>
      </c>
      <c r="E39">
        <v>8</v>
      </c>
      <c r="F39">
        <v>99.346065128052757</v>
      </c>
      <c r="G39">
        <v>75.02244611808824</v>
      </c>
      <c r="H39">
        <v>0</v>
      </c>
      <c r="I39">
        <v>0.75516273363607878</v>
      </c>
      <c r="J39">
        <v>2.5975230634826199</v>
      </c>
    </row>
    <row r="40" spans="1:10" x14ac:dyDescent="0.2">
      <c r="A40" t="s">
        <v>303</v>
      </c>
      <c r="B40" t="s">
        <v>314</v>
      </c>
      <c r="C40" t="s">
        <v>302</v>
      </c>
      <c r="D40" t="s">
        <v>49</v>
      </c>
      <c r="E40">
        <v>9</v>
      </c>
      <c r="F40">
        <v>98.593338469709082</v>
      </c>
      <c r="G40">
        <v>38.005486200147217</v>
      </c>
      <c r="H40">
        <v>9.0869353132575732</v>
      </c>
      <c r="I40">
        <v>0.38547722178840388</v>
      </c>
      <c r="J40">
        <v>2.5778421143375714</v>
      </c>
    </row>
    <row r="41" spans="1:10" x14ac:dyDescent="0.2">
      <c r="A41" t="s">
        <v>303</v>
      </c>
      <c r="B41" s="111" t="s">
        <v>548</v>
      </c>
      <c r="C41" t="s">
        <v>285</v>
      </c>
      <c r="D41" t="s">
        <v>234</v>
      </c>
      <c r="E41">
        <v>10</v>
      </c>
      <c r="F41">
        <v>85.244651236104005</v>
      </c>
      <c r="G41">
        <v>44.172551033889228</v>
      </c>
      <c r="H41">
        <v>4.2294468439864321</v>
      </c>
      <c r="I41">
        <v>0.51818560335877883</v>
      </c>
      <c r="J41">
        <v>2.2288245371259068</v>
      </c>
    </row>
    <row r="42" spans="1:10" x14ac:dyDescent="0.2">
      <c r="A42" t="s">
        <v>315</v>
      </c>
      <c r="B42" t="s">
        <v>316</v>
      </c>
      <c r="C42" t="s">
        <v>302</v>
      </c>
      <c r="D42" t="s">
        <v>49</v>
      </c>
      <c r="E42">
        <v>1</v>
      </c>
      <c r="F42">
        <v>355.33798059866433</v>
      </c>
      <c r="G42">
        <v>238.26354999772002</v>
      </c>
      <c r="H42">
        <v>105</v>
      </c>
      <c r="I42">
        <v>0.67052654938911871</v>
      </c>
      <c r="J42">
        <v>11.838616868211892</v>
      </c>
    </row>
    <row r="43" spans="1:10" x14ac:dyDescent="0.2">
      <c r="A43" t="s">
        <v>315</v>
      </c>
      <c r="B43" t="s">
        <v>317</v>
      </c>
      <c r="C43" t="s">
        <v>294</v>
      </c>
      <c r="D43" t="s">
        <v>123</v>
      </c>
      <c r="E43">
        <v>2</v>
      </c>
      <c r="F43">
        <v>184.47502064049735</v>
      </c>
      <c r="G43">
        <v>81.053757888518149</v>
      </c>
      <c r="H43">
        <v>10</v>
      </c>
      <c r="I43">
        <v>0.43937524770074271</v>
      </c>
      <c r="J43">
        <v>6.1460615255338054</v>
      </c>
    </row>
    <row r="44" spans="1:10" x14ac:dyDescent="0.2">
      <c r="A44" t="s">
        <v>315</v>
      </c>
      <c r="B44" t="s">
        <v>318</v>
      </c>
      <c r="C44" t="s">
        <v>252</v>
      </c>
      <c r="D44" t="s">
        <v>131</v>
      </c>
      <c r="E44">
        <v>3</v>
      </c>
      <c r="F44">
        <v>142.61600288171991</v>
      </c>
      <c r="G44">
        <v>21.584974979396527</v>
      </c>
      <c r="H44">
        <v>45.020103429791497</v>
      </c>
      <c r="I44">
        <v>0.15135030111100684</v>
      </c>
      <c r="J44">
        <v>4.7514656737451819</v>
      </c>
    </row>
    <row r="45" spans="1:10" x14ac:dyDescent="0.2">
      <c r="A45" t="s">
        <v>315</v>
      </c>
      <c r="B45" t="s">
        <v>319</v>
      </c>
      <c r="C45" t="s">
        <v>320</v>
      </c>
      <c r="D45" t="s">
        <v>158</v>
      </c>
      <c r="E45">
        <v>4</v>
      </c>
      <c r="F45">
        <v>134.71735891028223</v>
      </c>
      <c r="G45">
        <v>80.650763412347388</v>
      </c>
      <c r="H45">
        <v>115.63135576214466</v>
      </c>
      <c r="I45">
        <v>0.59866645297031396</v>
      </c>
      <c r="J45">
        <v>4.4883105232636016</v>
      </c>
    </row>
    <row r="46" spans="1:10" x14ac:dyDescent="0.2">
      <c r="A46" t="s">
        <v>315</v>
      </c>
      <c r="B46" t="s">
        <v>321</v>
      </c>
      <c r="C46" t="s">
        <v>270</v>
      </c>
      <c r="D46" t="s">
        <v>55</v>
      </c>
      <c r="E46">
        <v>5</v>
      </c>
      <c r="F46">
        <v>112.74289460473588</v>
      </c>
      <c r="G46">
        <v>5.6921315657535807</v>
      </c>
      <c r="H46">
        <v>16.916807665353563</v>
      </c>
      <c r="I46">
        <v>5.0487718855450399E-2</v>
      </c>
      <c r="J46">
        <v>3.7561983427438848</v>
      </c>
    </row>
    <row r="47" spans="1:10" x14ac:dyDescent="0.2">
      <c r="A47" t="s">
        <v>315</v>
      </c>
      <c r="B47" t="s">
        <v>322</v>
      </c>
      <c r="C47" t="s">
        <v>323</v>
      </c>
      <c r="D47" t="s">
        <v>237</v>
      </c>
      <c r="E47">
        <v>6</v>
      </c>
      <c r="F47">
        <v>102.74984657151836</v>
      </c>
      <c r="G47">
        <v>0</v>
      </c>
      <c r="H47">
        <v>0</v>
      </c>
      <c r="J47">
        <v>3.4232649850105368</v>
      </c>
    </row>
    <row r="48" spans="1:10" x14ac:dyDescent="0.2">
      <c r="A48" t="s">
        <v>315</v>
      </c>
      <c r="B48" t="s">
        <v>324</v>
      </c>
      <c r="C48" t="s">
        <v>278</v>
      </c>
      <c r="D48" t="s">
        <v>231</v>
      </c>
      <c r="E48">
        <v>7</v>
      </c>
      <c r="F48">
        <v>89.012234366477486</v>
      </c>
      <c r="G48">
        <v>84.088898204621458</v>
      </c>
      <c r="H48">
        <v>69.052220851414489</v>
      </c>
      <c r="I48">
        <v>0.94468921944385897</v>
      </c>
      <c r="J48">
        <v>2.965575865188478</v>
      </c>
    </row>
    <row r="49" spans="1:10" x14ac:dyDescent="0.2">
      <c r="A49" t="s">
        <v>315</v>
      </c>
      <c r="B49" t="s">
        <v>325</v>
      </c>
      <c r="C49" t="s">
        <v>250</v>
      </c>
      <c r="D49" t="s">
        <v>125</v>
      </c>
      <c r="E49">
        <v>8</v>
      </c>
      <c r="F49">
        <v>88.479234493547423</v>
      </c>
      <c r="G49">
        <v>88.479234493547423</v>
      </c>
      <c r="H49">
        <v>0</v>
      </c>
      <c r="I49">
        <v>1</v>
      </c>
      <c r="J49">
        <v>2.9478181763655895</v>
      </c>
    </row>
    <row r="50" spans="1:10" x14ac:dyDescent="0.2">
      <c r="A50" t="s">
        <v>315</v>
      </c>
      <c r="B50" t="s">
        <v>326</v>
      </c>
      <c r="C50" t="s">
        <v>275</v>
      </c>
      <c r="D50" t="s">
        <v>130</v>
      </c>
      <c r="E50">
        <v>9</v>
      </c>
      <c r="F50">
        <v>87.911655597455649</v>
      </c>
      <c r="G50">
        <v>80.570359344614161</v>
      </c>
      <c r="H50">
        <v>12.70831761490488</v>
      </c>
      <c r="I50">
        <v>0.91649234446843975</v>
      </c>
      <c r="J50">
        <v>2.9289084356111883</v>
      </c>
    </row>
    <row r="51" spans="1:10" x14ac:dyDescent="0.2">
      <c r="A51" t="s">
        <v>315</v>
      </c>
      <c r="B51" s="111" t="s">
        <v>549</v>
      </c>
      <c r="C51" t="s">
        <v>273</v>
      </c>
      <c r="D51" t="s">
        <v>132</v>
      </c>
      <c r="E51">
        <v>10</v>
      </c>
      <c r="F51">
        <v>86.629196737261552</v>
      </c>
      <c r="G51">
        <v>30.38518608364609</v>
      </c>
      <c r="H51">
        <v>30.324240565783398</v>
      </c>
      <c r="I51">
        <v>0.35074994606958654</v>
      </c>
      <c r="J51">
        <v>2.8861813984689655</v>
      </c>
    </row>
    <row r="52" spans="1:10" x14ac:dyDescent="0.2">
      <c r="A52" t="s">
        <v>327</v>
      </c>
      <c r="B52" t="s">
        <v>328</v>
      </c>
      <c r="C52" t="s">
        <v>254</v>
      </c>
      <c r="D52" t="s">
        <v>128</v>
      </c>
      <c r="E52">
        <v>1</v>
      </c>
      <c r="F52">
        <v>838.5236613241093</v>
      </c>
      <c r="G52">
        <v>49.239518261370812</v>
      </c>
      <c r="H52">
        <v>347.54767488596059</v>
      </c>
      <c r="I52">
        <v>5.8721680177297432E-2</v>
      </c>
      <c r="J52">
        <v>7.1754464274096952</v>
      </c>
    </row>
    <row r="53" spans="1:10" x14ac:dyDescent="0.2">
      <c r="A53" t="s">
        <v>327</v>
      </c>
      <c r="B53" t="s">
        <v>329</v>
      </c>
      <c r="C53" t="s">
        <v>275</v>
      </c>
      <c r="D53" t="s">
        <v>130</v>
      </c>
      <c r="E53">
        <v>2</v>
      </c>
      <c r="F53">
        <v>411.15079335166337</v>
      </c>
      <c r="G53">
        <v>384.62764014259136</v>
      </c>
      <c r="H53">
        <v>43.635064824898663</v>
      </c>
      <c r="I53">
        <v>0.93549044866761</v>
      </c>
      <c r="J53">
        <v>3.5183151380883166</v>
      </c>
    </row>
    <row r="54" spans="1:10" x14ac:dyDescent="0.2">
      <c r="A54" t="s">
        <v>327</v>
      </c>
      <c r="B54" t="s">
        <v>330</v>
      </c>
      <c r="C54" t="s">
        <v>331</v>
      </c>
      <c r="D54" t="s">
        <v>45</v>
      </c>
      <c r="E54">
        <v>3</v>
      </c>
      <c r="F54">
        <v>389.67373508641379</v>
      </c>
      <c r="G54">
        <v>78.128213374625147</v>
      </c>
      <c r="H54">
        <v>184.52886586557167</v>
      </c>
      <c r="I54">
        <v>0.20049648292898029</v>
      </c>
      <c r="J54">
        <v>3.3345308418201536</v>
      </c>
    </row>
    <row r="55" spans="1:10" x14ac:dyDescent="0.2">
      <c r="A55" t="s">
        <v>327</v>
      </c>
      <c r="B55" t="s">
        <v>332</v>
      </c>
      <c r="C55" t="s">
        <v>302</v>
      </c>
      <c r="D55" t="s">
        <v>49</v>
      </c>
      <c r="E55">
        <v>4</v>
      </c>
      <c r="F55">
        <v>373.09133295072036</v>
      </c>
      <c r="G55">
        <v>199.36147725658617</v>
      </c>
      <c r="H55">
        <v>169.29604681045754</v>
      </c>
      <c r="I55">
        <v>0.53435033100304896</v>
      </c>
      <c r="J55">
        <v>3.1926312823318241</v>
      </c>
    </row>
    <row r="56" spans="1:10" x14ac:dyDescent="0.2">
      <c r="A56" t="s">
        <v>327</v>
      </c>
      <c r="B56" t="s">
        <v>333</v>
      </c>
      <c r="C56" t="s">
        <v>291</v>
      </c>
      <c r="D56" t="s">
        <v>43</v>
      </c>
      <c r="E56">
        <v>5</v>
      </c>
      <c r="F56">
        <v>356.8613334474046</v>
      </c>
      <c r="G56">
        <v>49.639135553314496</v>
      </c>
      <c r="H56">
        <v>171.84822630229553</v>
      </c>
      <c r="I56">
        <v>0.139099226788689</v>
      </c>
      <c r="J56">
        <v>3.0537473159938551</v>
      </c>
    </row>
    <row r="57" spans="1:10" x14ac:dyDescent="0.2">
      <c r="A57" t="s">
        <v>327</v>
      </c>
      <c r="B57" t="s">
        <v>334</v>
      </c>
      <c r="C57" t="s">
        <v>256</v>
      </c>
      <c r="D57" t="s">
        <v>50</v>
      </c>
      <c r="E57">
        <v>6</v>
      </c>
      <c r="F57">
        <v>314.11372978648717</v>
      </c>
      <c r="G57">
        <v>94.28938179963346</v>
      </c>
      <c r="H57">
        <v>60.614264787537834</v>
      </c>
      <c r="I57">
        <v>0.30017593265892856</v>
      </c>
      <c r="J57">
        <v>2.6879459032052231</v>
      </c>
    </row>
    <row r="58" spans="1:10" x14ac:dyDescent="0.2">
      <c r="A58" t="s">
        <v>327</v>
      </c>
      <c r="B58" t="s">
        <v>335</v>
      </c>
      <c r="C58" t="s">
        <v>273</v>
      </c>
      <c r="D58" t="s">
        <v>132</v>
      </c>
      <c r="E58">
        <v>7</v>
      </c>
      <c r="F58">
        <v>280.33596809097435</v>
      </c>
      <c r="G58">
        <v>123.35228065046573</v>
      </c>
      <c r="H58">
        <v>33.951787796659204</v>
      </c>
      <c r="I58">
        <v>0.4400158905418643</v>
      </c>
      <c r="J58">
        <v>2.3989015617477176</v>
      </c>
    </row>
    <row r="59" spans="1:10" x14ac:dyDescent="0.2">
      <c r="A59" t="s">
        <v>327</v>
      </c>
      <c r="B59" t="s">
        <v>336</v>
      </c>
      <c r="C59" t="s">
        <v>270</v>
      </c>
      <c r="D59" t="s">
        <v>55</v>
      </c>
      <c r="E59">
        <v>8</v>
      </c>
      <c r="F59">
        <v>278.82936909754051</v>
      </c>
      <c r="G59">
        <v>69.920330812310894</v>
      </c>
      <c r="H59">
        <v>106.0234044356631</v>
      </c>
      <c r="I59">
        <v>0.25076386694348279</v>
      </c>
      <c r="J59">
        <v>2.3860092357900897</v>
      </c>
    </row>
    <row r="60" spans="1:10" x14ac:dyDescent="0.2">
      <c r="A60" t="s">
        <v>327</v>
      </c>
      <c r="B60" t="s">
        <v>337</v>
      </c>
      <c r="C60" t="s">
        <v>284</v>
      </c>
      <c r="D60" t="s">
        <v>124</v>
      </c>
      <c r="E60">
        <v>9</v>
      </c>
      <c r="F60">
        <v>276.39821383014367</v>
      </c>
      <c r="G60">
        <v>143.29241359658249</v>
      </c>
      <c r="H60">
        <v>0</v>
      </c>
      <c r="I60">
        <v>0.51842742256156793</v>
      </c>
      <c r="J60">
        <v>2.3652052618743458</v>
      </c>
    </row>
    <row r="61" spans="1:10" x14ac:dyDescent="0.2">
      <c r="A61" t="s">
        <v>327</v>
      </c>
      <c r="B61" s="111" t="s">
        <v>568</v>
      </c>
      <c r="C61" t="s">
        <v>338</v>
      </c>
      <c r="D61" t="s">
        <v>127</v>
      </c>
      <c r="E61">
        <v>10</v>
      </c>
      <c r="F61">
        <v>271.31191300656883</v>
      </c>
      <c r="G61">
        <v>202.63383210335684</v>
      </c>
      <c r="H61">
        <v>5.1308519174566349</v>
      </c>
      <c r="I61">
        <v>0.74686669618687473</v>
      </c>
      <c r="J61">
        <v>2.3216805758617656</v>
      </c>
    </row>
    <row r="62" spans="1:10" x14ac:dyDescent="0.2">
      <c r="A62" t="s">
        <v>339</v>
      </c>
      <c r="B62" t="s">
        <v>340</v>
      </c>
      <c r="C62" t="s">
        <v>302</v>
      </c>
      <c r="D62" t="s">
        <v>49</v>
      </c>
      <c r="E62">
        <v>1</v>
      </c>
      <c r="F62">
        <v>1087.216058637496</v>
      </c>
      <c r="G62">
        <v>193.70761672064859</v>
      </c>
      <c r="H62">
        <v>239.64859163998818</v>
      </c>
      <c r="I62">
        <v>0.17816846539537307</v>
      </c>
      <c r="J62">
        <v>6.5849555388192726</v>
      </c>
    </row>
    <row r="63" spans="1:10" x14ac:dyDescent="0.2">
      <c r="A63" t="s">
        <v>339</v>
      </c>
      <c r="B63" t="s">
        <v>341</v>
      </c>
      <c r="C63" t="s">
        <v>273</v>
      </c>
      <c r="D63" t="s">
        <v>132</v>
      </c>
      <c r="E63">
        <v>2</v>
      </c>
      <c r="F63">
        <v>970.57391387147572</v>
      </c>
      <c r="G63">
        <v>718.8006109557499</v>
      </c>
      <c r="H63">
        <v>170.50359616806017</v>
      </c>
      <c r="I63">
        <v>0.74059337540668146</v>
      </c>
      <c r="J63">
        <v>5.8784875547100883</v>
      </c>
    </row>
    <row r="64" spans="1:10" x14ac:dyDescent="0.2">
      <c r="A64" t="s">
        <v>339</v>
      </c>
      <c r="B64" t="s">
        <v>342</v>
      </c>
      <c r="C64" t="s">
        <v>254</v>
      </c>
      <c r="D64" t="s">
        <v>128</v>
      </c>
      <c r="E64">
        <v>3</v>
      </c>
      <c r="F64">
        <v>769.66536808167371</v>
      </c>
      <c r="G64">
        <v>296.89729969110994</v>
      </c>
      <c r="H64">
        <v>119.22645748548692</v>
      </c>
      <c r="I64">
        <v>0.38574854995892766</v>
      </c>
      <c r="J64">
        <v>4.6616421716013816</v>
      </c>
    </row>
    <row r="65" spans="1:10" x14ac:dyDescent="0.2">
      <c r="A65" t="s">
        <v>339</v>
      </c>
      <c r="B65" t="s">
        <v>343</v>
      </c>
      <c r="C65" t="s">
        <v>270</v>
      </c>
      <c r="D65" t="s">
        <v>55</v>
      </c>
      <c r="E65">
        <v>4</v>
      </c>
      <c r="F65">
        <v>746.83287477838405</v>
      </c>
      <c r="G65">
        <v>549.50707183758595</v>
      </c>
      <c r="H65">
        <v>98.984050106752136</v>
      </c>
      <c r="I65">
        <v>0.73578318576381263</v>
      </c>
      <c r="J65">
        <v>4.5233523146331427</v>
      </c>
    </row>
    <row r="66" spans="1:10" x14ac:dyDescent="0.2">
      <c r="A66" t="s">
        <v>339</v>
      </c>
      <c r="B66" t="s">
        <v>344</v>
      </c>
      <c r="C66" t="s">
        <v>298</v>
      </c>
      <c r="D66" t="s">
        <v>54</v>
      </c>
      <c r="E66">
        <v>5</v>
      </c>
      <c r="F66">
        <v>613.58371709474102</v>
      </c>
      <c r="G66">
        <v>579.69210698840072</v>
      </c>
      <c r="H66">
        <v>179.53459493761136</v>
      </c>
      <c r="I66">
        <v>0.94476448907931621</v>
      </c>
      <c r="J66">
        <v>3.7163004209814621</v>
      </c>
    </row>
    <row r="67" spans="1:10" x14ac:dyDescent="0.2">
      <c r="A67" t="s">
        <v>339</v>
      </c>
      <c r="B67" t="s">
        <v>345</v>
      </c>
      <c r="C67" t="s">
        <v>291</v>
      </c>
      <c r="D67" t="s">
        <v>43</v>
      </c>
      <c r="E67">
        <v>6</v>
      </c>
      <c r="F67">
        <v>418.80844169843647</v>
      </c>
      <c r="G67">
        <v>21.175453988868277</v>
      </c>
      <c r="H67">
        <v>47.171143731725181</v>
      </c>
      <c r="I67">
        <v>5.0561191897167367E-2</v>
      </c>
      <c r="J67">
        <v>2.5366024958484505</v>
      </c>
    </row>
    <row r="68" spans="1:10" x14ac:dyDescent="0.2">
      <c r="A68" t="s">
        <v>339</v>
      </c>
      <c r="B68" t="s">
        <v>346</v>
      </c>
      <c r="C68" t="s">
        <v>347</v>
      </c>
      <c r="D68" t="s">
        <v>226</v>
      </c>
      <c r="E68">
        <v>7</v>
      </c>
      <c r="F68">
        <v>411.24445332243431</v>
      </c>
      <c r="G68">
        <v>15.874950637222591</v>
      </c>
      <c r="H68">
        <v>14.33727166669467</v>
      </c>
      <c r="I68">
        <v>3.8602224319305066E-2</v>
      </c>
      <c r="J68">
        <v>2.4907895897968784</v>
      </c>
    </row>
    <row r="69" spans="1:10" x14ac:dyDescent="0.2">
      <c r="A69" t="s">
        <v>339</v>
      </c>
      <c r="B69" t="s">
        <v>348</v>
      </c>
      <c r="C69" t="s">
        <v>349</v>
      </c>
      <c r="D69" t="s">
        <v>46</v>
      </c>
      <c r="E69">
        <v>8</v>
      </c>
      <c r="F69">
        <v>400.58209559241635</v>
      </c>
      <c r="G69">
        <v>173.40138606218079</v>
      </c>
      <c r="H69">
        <v>9.6051779880834331</v>
      </c>
      <c r="I69">
        <v>0.43287353071968787</v>
      </c>
      <c r="J69">
        <v>2.4262107500774364</v>
      </c>
    </row>
    <row r="70" spans="1:10" x14ac:dyDescent="0.2">
      <c r="A70" t="s">
        <v>339</v>
      </c>
      <c r="B70" t="s">
        <v>350</v>
      </c>
      <c r="C70" t="s">
        <v>351</v>
      </c>
      <c r="D70" t="s">
        <v>193</v>
      </c>
      <c r="E70">
        <v>9</v>
      </c>
      <c r="F70">
        <v>384.1956954525034</v>
      </c>
      <c r="G70">
        <v>53.416694640913128</v>
      </c>
      <c r="H70">
        <v>14.615065425580127</v>
      </c>
      <c r="I70">
        <v>0.13903512005255358</v>
      </c>
      <c r="J70">
        <v>2.3269630287939096</v>
      </c>
    </row>
    <row r="71" spans="1:10" x14ac:dyDescent="0.2">
      <c r="A71" t="s">
        <v>339</v>
      </c>
      <c r="B71" s="111" t="s">
        <v>550</v>
      </c>
      <c r="C71" t="s">
        <v>338</v>
      </c>
      <c r="D71" t="s">
        <v>127</v>
      </c>
      <c r="E71">
        <v>10</v>
      </c>
      <c r="F71">
        <v>364.93656954952996</v>
      </c>
      <c r="G71">
        <v>293.36441145292196</v>
      </c>
      <c r="H71">
        <v>0</v>
      </c>
      <c r="I71">
        <v>0.8038778131088502</v>
      </c>
      <c r="J71">
        <v>2.2103160322930169</v>
      </c>
    </row>
    <row r="72" spans="1:10" x14ac:dyDescent="0.2">
      <c r="A72" t="s">
        <v>352</v>
      </c>
      <c r="B72" t="s">
        <v>353</v>
      </c>
      <c r="C72" t="s">
        <v>302</v>
      </c>
      <c r="D72" t="s">
        <v>49</v>
      </c>
      <c r="E72">
        <v>1</v>
      </c>
      <c r="F72">
        <v>892.56571384205643</v>
      </c>
      <c r="G72">
        <v>157.16398482058847</v>
      </c>
      <c r="H72">
        <v>157.33262179717843</v>
      </c>
      <c r="I72">
        <v>0.17608113596933364</v>
      </c>
      <c r="J72">
        <v>5.260211465213759</v>
      </c>
    </row>
    <row r="73" spans="1:10" x14ac:dyDescent="0.2">
      <c r="A73" t="s">
        <v>352</v>
      </c>
      <c r="B73" t="s">
        <v>354</v>
      </c>
      <c r="C73" t="s">
        <v>291</v>
      </c>
      <c r="D73" t="s">
        <v>43</v>
      </c>
      <c r="E73">
        <v>2</v>
      </c>
      <c r="F73">
        <v>836.02417576990661</v>
      </c>
      <c r="G73">
        <v>51.268284014371943</v>
      </c>
      <c r="H73">
        <v>81.072417412237527</v>
      </c>
      <c r="I73">
        <v>6.1323925192902765E-2</v>
      </c>
      <c r="J73">
        <v>4.9269918017027177</v>
      </c>
    </row>
    <row r="74" spans="1:10" x14ac:dyDescent="0.2">
      <c r="A74" t="s">
        <v>352</v>
      </c>
      <c r="B74" t="s">
        <v>355</v>
      </c>
      <c r="C74" t="s">
        <v>356</v>
      </c>
      <c r="D74" t="s">
        <v>228</v>
      </c>
      <c r="E74">
        <v>3</v>
      </c>
      <c r="F74">
        <v>742.90838975791974</v>
      </c>
      <c r="G74">
        <v>660.54218813524392</v>
      </c>
      <c r="H74">
        <v>61.029700630323049</v>
      </c>
      <c r="I74">
        <v>0.88913006938915407</v>
      </c>
      <c r="J74">
        <v>4.3782269123768005</v>
      </c>
    </row>
    <row r="75" spans="1:10" x14ac:dyDescent="0.2">
      <c r="A75" t="s">
        <v>352</v>
      </c>
      <c r="B75" t="s">
        <v>357</v>
      </c>
      <c r="C75" t="s">
        <v>262</v>
      </c>
      <c r="D75" t="s">
        <v>44</v>
      </c>
      <c r="E75">
        <v>4</v>
      </c>
      <c r="F75">
        <v>721.92188179638163</v>
      </c>
      <c r="G75">
        <v>323.69007775051642</v>
      </c>
      <c r="H75">
        <v>139.83339743528646</v>
      </c>
      <c r="I75">
        <v>0.44837271997500328</v>
      </c>
      <c r="J75">
        <v>4.2545458566493819</v>
      </c>
    </row>
    <row r="76" spans="1:10" x14ac:dyDescent="0.2">
      <c r="A76" t="s">
        <v>352</v>
      </c>
      <c r="B76" t="s">
        <v>358</v>
      </c>
      <c r="C76" t="s">
        <v>359</v>
      </c>
      <c r="D76" t="s">
        <v>52</v>
      </c>
      <c r="E76">
        <v>5</v>
      </c>
      <c r="F76">
        <v>599.05972418377905</v>
      </c>
      <c r="G76">
        <v>529.43518874640483</v>
      </c>
      <c r="H76">
        <v>28.137405592152</v>
      </c>
      <c r="I76">
        <v>0.88377697143262657</v>
      </c>
      <c r="J76">
        <v>3.5304748777936172</v>
      </c>
    </row>
    <row r="77" spans="1:10" x14ac:dyDescent="0.2">
      <c r="A77" t="s">
        <v>352</v>
      </c>
      <c r="B77" t="s">
        <v>360</v>
      </c>
      <c r="C77" t="s">
        <v>273</v>
      </c>
      <c r="D77" t="s">
        <v>132</v>
      </c>
      <c r="E77">
        <v>6</v>
      </c>
      <c r="F77">
        <v>521.85637348167324</v>
      </c>
      <c r="G77">
        <v>103.17283190791265</v>
      </c>
      <c r="H77">
        <v>28.306721948219717</v>
      </c>
      <c r="I77">
        <v>0.19770350071529003</v>
      </c>
      <c r="J77">
        <v>3.0754877051763212</v>
      </c>
    </row>
    <row r="78" spans="1:10" x14ac:dyDescent="0.2">
      <c r="A78" t="s">
        <v>352</v>
      </c>
      <c r="B78" t="s">
        <v>361</v>
      </c>
      <c r="C78" t="s">
        <v>254</v>
      </c>
      <c r="D78" t="s">
        <v>128</v>
      </c>
      <c r="E78">
        <v>7</v>
      </c>
      <c r="F78">
        <v>515.50723807203167</v>
      </c>
      <c r="G78">
        <v>35.787622419761909</v>
      </c>
      <c r="H78">
        <v>60.004274507599696</v>
      </c>
      <c r="I78">
        <v>6.9422153127482011E-2</v>
      </c>
      <c r="J78">
        <v>3.0380699617451623</v>
      </c>
    </row>
    <row r="79" spans="1:10" x14ac:dyDescent="0.2">
      <c r="A79" t="s">
        <v>352</v>
      </c>
      <c r="B79" t="s">
        <v>362</v>
      </c>
      <c r="C79" t="s">
        <v>349</v>
      </c>
      <c r="D79" t="s">
        <v>46</v>
      </c>
      <c r="E79">
        <v>8</v>
      </c>
      <c r="F79">
        <v>479.43921953303447</v>
      </c>
      <c r="G79">
        <v>151.06252038099427</v>
      </c>
      <c r="H79">
        <v>50.443185952462372</v>
      </c>
      <c r="I79">
        <v>0.31508169174838585</v>
      </c>
      <c r="J79">
        <v>2.8255081282531487</v>
      </c>
    </row>
    <row r="80" spans="1:10" x14ac:dyDescent="0.2">
      <c r="A80" t="s">
        <v>352</v>
      </c>
      <c r="B80" t="s">
        <v>363</v>
      </c>
      <c r="C80" t="s">
        <v>294</v>
      </c>
      <c r="D80" t="s">
        <v>123</v>
      </c>
      <c r="E80">
        <v>9</v>
      </c>
      <c r="F80">
        <v>410.99773024161323</v>
      </c>
      <c r="G80">
        <v>270.71990555732344</v>
      </c>
      <c r="H80">
        <v>16.074729695793124</v>
      </c>
      <c r="I80">
        <v>0.65868953922975526</v>
      </c>
      <c r="J80">
        <v>2.4221577630264317</v>
      </c>
    </row>
    <row r="81" spans="1:10" x14ac:dyDescent="0.2">
      <c r="A81" t="s">
        <v>352</v>
      </c>
      <c r="B81" s="111" t="s">
        <v>551</v>
      </c>
      <c r="C81" t="s">
        <v>331</v>
      </c>
      <c r="D81" t="s">
        <v>45</v>
      </c>
      <c r="E81">
        <v>10</v>
      </c>
      <c r="F81">
        <v>391.93693489006188</v>
      </c>
      <c r="G81">
        <v>98.250816576339474</v>
      </c>
      <c r="H81">
        <v>198.08797045207271</v>
      </c>
      <c r="I81">
        <v>0.25068016772621537</v>
      </c>
      <c r="J81">
        <v>2.3098256258073837</v>
      </c>
    </row>
    <row r="82" spans="1:10" x14ac:dyDescent="0.2">
      <c r="A82" t="s">
        <v>364</v>
      </c>
      <c r="B82" t="s">
        <v>365</v>
      </c>
      <c r="C82" t="s">
        <v>275</v>
      </c>
      <c r="D82" t="s">
        <v>130</v>
      </c>
      <c r="E82">
        <v>1</v>
      </c>
      <c r="F82">
        <v>196.47534377073282</v>
      </c>
      <c r="G82">
        <v>170.65543636323599</v>
      </c>
      <c r="H82">
        <v>8</v>
      </c>
      <c r="I82">
        <v>0.86858449049145781</v>
      </c>
      <c r="J82">
        <v>5.7817098382686885</v>
      </c>
    </row>
    <row r="83" spans="1:10" x14ac:dyDescent="0.2">
      <c r="A83" t="s">
        <v>364</v>
      </c>
      <c r="B83" t="s">
        <v>366</v>
      </c>
      <c r="C83" t="s">
        <v>311</v>
      </c>
      <c r="D83" t="s">
        <v>191</v>
      </c>
      <c r="E83">
        <v>2</v>
      </c>
      <c r="F83">
        <v>168.27111623461715</v>
      </c>
      <c r="G83">
        <v>76.840745853240605</v>
      </c>
      <c r="H83">
        <v>108.88135968258675</v>
      </c>
      <c r="I83">
        <v>0.45664845858693326</v>
      </c>
      <c r="J83">
        <v>4.9517397428015775</v>
      </c>
    </row>
    <row r="84" spans="1:10" x14ac:dyDescent="0.2">
      <c r="A84" t="s">
        <v>364</v>
      </c>
      <c r="B84" t="s">
        <v>367</v>
      </c>
      <c r="C84" t="s">
        <v>273</v>
      </c>
      <c r="D84" t="s">
        <v>132</v>
      </c>
      <c r="E84">
        <v>3</v>
      </c>
      <c r="F84">
        <v>156.43241365438467</v>
      </c>
      <c r="G84">
        <v>104.22860971263363</v>
      </c>
      <c r="H84">
        <v>0</v>
      </c>
      <c r="I84">
        <v>0.66628524918698773</v>
      </c>
      <c r="J84">
        <v>4.6033604405093822</v>
      </c>
    </row>
    <row r="85" spans="1:10" x14ac:dyDescent="0.2">
      <c r="A85" t="s">
        <v>364</v>
      </c>
      <c r="B85" t="s">
        <v>368</v>
      </c>
      <c r="C85" t="s">
        <v>254</v>
      </c>
      <c r="D85" t="s">
        <v>128</v>
      </c>
      <c r="E85">
        <v>4</v>
      </c>
      <c r="F85">
        <v>143.04626274149206</v>
      </c>
      <c r="G85">
        <v>115.67681536952863</v>
      </c>
      <c r="H85">
        <v>15</v>
      </c>
      <c r="I85">
        <v>0.80866716230521529</v>
      </c>
      <c r="J85">
        <v>4.2094441406609251</v>
      </c>
    </row>
    <row r="86" spans="1:10" x14ac:dyDescent="0.2">
      <c r="A86" t="s">
        <v>364</v>
      </c>
      <c r="B86" t="s">
        <v>369</v>
      </c>
      <c r="C86" t="s">
        <v>270</v>
      </c>
      <c r="D86" t="s">
        <v>55</v>
      </c>
      <c r="E86">
        <v>5</v>
      </c>
      <c r="F86">
        <v>136.16044898674369</v>
      </c>
      <c r="G86">
        <v>5.0908853395973903</v>
      </c>
      <c r="H86">
        <v>19.453350459642184</v>
      </c>
      <c r="I86">
        <v>3.7388870097608363E-2</v>
      </c>
      <c r="J86">
        <v>4.0068142515040908</v>
      </c>
    </row>
    <row r="87" spans="1:10" x14ac:dyDescent="0.2">
      <c r="A87" t="s">
        <v>364</v>
      </c>
      <c r="B87" t="s">
        <v>370</v>
      </c>
      <c r="C87" t="s">
        <v>291</v>
      </c>
      <c r="D87" t="s">
        <v>43</v>
      </c>
      <c r="E87">
        <v>6</v>
      </c>
      <c r="F87">
        <v>114.01257406996146</v>
      </c>
      <c r="G87">
        <v>14.116784888423084</v>
      </c>
      <c r="H87">
        <v>59.458734468728316</v>
      </c>
      <c r="I87">
        <v>0.12381778942873976</v>
      </c>
      <c r="J87">
        <v>3.3550653661450776</v>
      </c>
    </row>
    <row r="88" spans="1:10" x14ac:dyDescent="0.2">
      <c r="A88" t="s">
        <v>364</v>
      </c>
      <c r="B88" t="s">
        <v>371</v>
      </c>
      <c r="C88" t="s">
        <v>372</v>
      </c>
      <c r="D88" t="s">
        <v>373</v>
      </c>
      <c r="E88">
        <v>7</v>
      </c>
      <c r="F88">
        <v>113.46554596334971</v>
      </c>
      <c r="G88">
        <v>110.81512888466223</v>
      </c>
      <c r="H88">
        <v>2.6504170786874801</v>
      </c>
      <c r="I88">
        <v>0.97664121688936667</v>
      </c>
      <c r="J88">
        <v>3.3389678868120103</v>
      </c>
    </row>
    <row r="89" spans="1:10" x14ac:dyDescent="0.2">
      <c r="A89" t="s">
        <v>364</v>
      </c>
      <c r="B89" t="s">
        <v>374</v>
      </c>
      <c r="C89" t="s">
        <v>375</v>
      </c>
      <c r="D89" t="s">
        <v>376</v>
      </c>
      <c r="E89">
        <v>8</v>
      </c>
      <c r="F89">
        <v>75.966356241171681</v>
      </c>
      <c r="G89">
        <v>4.6689122096099034</v>
      </c>
      <c r="H89">
        <v>0</v>
      </c>
      <c r="I89">
        <v>6.1460262682435741E-2</v>
      </c>
      <c r="J89">
        <v>2.2354735247061179</v>
      </c>
    </row>
    <row r="90" spans="1:10" x14ac:dyDescent="0.2">
      <c r="A90" t="s">
        <v>364</v>
      </c>
      <c r="B90" t="s">
        <v>377</v>
      </c>
      <c r="C90" t="s">
        <v>378</v>
      </c>
      <c r="D90" t="s">
        <v>133</v>
      </c>
      <c r="E90">
        <v>9</v>
      </c>
      <c r="F90">
        <v>74.59580311339792</v>
      </c>
      <c r="G90">
        <v>38.635318826353256</v>
      </c>
      <c r="H90">
        <v>0</v>
      </c>
      <c r="I90">
        <v>0.51792885408876421</v>
      </c>
      <c r="J90">
        <v>2.1951420492617171</v>
      </c>
    </row>
    <row r="91" spans="1:10" x14ac:dyDescent="0.2">
      <c r="A91" t="s">
        <v>364</v>
      </c>
      <c r="B91" s="111" t="s">
        <v>552</v>
      </c>
      <c r="C91" t="s">
        <v>256</v>
      </c>
      <c r="D91" t="s">
        <v>50</v>
      </c>
      <c r="E91">
        <v>10</v>
      </c>
      <c r="F91">
        <v>71.041408324728224</v>
      </c>
      <c r="G91">
        <v>33.573206811544644</v>
      </c>
      <c r="H91">
        <v>11.191068937181548</v>
      </c>
      <c r="I91">
        <v>0.47258644786548271</v>
      </c>
      <c r="J91">
        <v>2.09054633295279</v>
      </c>
    </row>
    <row r="92" spans="1:10" x14ac:dyDescent="0.2">
      <c r="A92" t="s">
        <v>379</v>
      </c>
      <c r="B92" t="s">
        <v>380</v>
      </c>
      <c r="C92" t="s">
        <v>291</v>
      </c>
      <c r="D92" t="s">
        <v>43</v>
      </c>
      <c r="E92">
        <v>1</v>
      </c>
      <c r="F92">
        <v>854.92015836216456</v>
      </c>
      <c r="G92">
        <v>83.618319813359975</v>
      </c>
      <c r="H92">
        <v>425.2718208652858</v>
      </c>
      <c r="I92">
        <v>9.7808338001473649E-2</v>
      </c>
      <c r="J92">
        <v>5.8501306509127602</v>
      </c>
    </row>
    <row r="93" spans="1:10" x14ac:dyDescent="0.2">
      <c r="A93" t="s">
        <v>379</v>
      </c>
      <c r="B93" t="s">
        <v>381</v>
      </c>
      <c r="C93" t="s">
        <v>275</v>
      </c>
      <c r="D93" t="s">
        <v>130</v>
      </c>
      <c r="E93">
        <v>2</v>
      </c>
      <c r="F93">
        <v>654.01496252528614</v>
      </c>
      <c r="G93">
        <v>524.40922166970836</v>
      </c>
      <c r="H93">
        <v>55.530439557615679</v>
      </c>
      <c r="I93">
        <v>0.80183061813273604</v>
      </c>
      <c r="J93">
        <v>4.4753570739923072</v>
      </c>
    </row>
    <row r="94" spans="1:10" x14ac:dyDescent="0.2">
      <c r="A94" t="s">
        <v>379</v>
      </c>
      <c r="B94" t="s">
        <v>382</v>
      </c>
      <c r="C94" t="s">
        <v>262</v>
      </c>
      <c r="D94" t="s">
        <v>44</v>
      </c>
      <c r="E94">
        <v>3</v>
      </c>
      <c r="F94">
        <v>491.9406938001049</v>
      </c>
      <c r="G94">
        <v>305.24014301815851</v>
      </c>
      <c r="H94">
        <v>25.88022031277854</v>
      </c>
      <c r="I94">
        <v>0.62048158825866462</v>
      </c>
      <c r="J94">
        <v>3.3662995346193814</v>
      </c>
    </row>
    <row r="95" spans="1:10" x14ac:dyDescent="0.2">
      <c r="A95" t="s">
        <v>379</v>
      </c>
      <c r="B95" t="s">
        <v>383</v>
      </c>
      <c r="C95" t="s">
        <v>273</v>
      </c>
      <c r="D95" t="s">
        <v>132</v>
      </c>
      <c r="E95">
        <v>4</v>
      </c>
      <c r="F95">
        <v>474.70793840364206</v>
      </c>
      <c r="G95">
        <v>205.60880611904841</v>
      </c>
      <c r="H95">
        <v>111.06604621248825</v>
      </c>
      <c r="I95">
        <v>0.43312695972701459</v>
      </c>
      <c r="J95">
        <v>3.2483775631247962</v>
      </c>
    </row>
    <row r="96" spans="1:10" x14ac:dyDescent="0.2">
      <c r="A96" t="s">
        <v>379</v>
      </c>
      <c r="B96" t="s">
        <v>384</v>
      </c>
      <c r="C96" t="s">
        <v>331</v>
      </c>
      <c r="D96" t="s">
        <v>45</v>
      </c>
      <c r="E96">
        <v>5</v>
      </c>
      <c r="F96">
        <v>462.85552464812503</v>
      </c>
      <c r="G96">
        <v>142.13522456631912</v>
      </c>
      <c r="H96">
        <v>176.47045938697465</v>
      </c>
      <c r="I96">
        <v>0.30708334890109407</v>
      </c>
      <c r="J96">
        <v>3.1672727157068961</v>
      </c>
    </row>
    <row r="97" spans="1:10" x14ac:dyDescent="0.2">
      <c r="A97" t="s">
        <v>379</v>
      </c>
      <c r="B97" t="s">
        <v>385</v>
      </c>
      <c r="C97" t="s">
        <v>270</v>
      </c>
      <c r="D97" t="s">
        <v>55</v>
      </c>
      <c r="E97">
        <v>6</v>
      </c>
      <c r="F97">
        <v>434.85836651826736</v>
      </c>
      <c r="G97">
        <v>101.64398297078671</v>
      </c>
      <c r="H97">
        <v>99.719109769699131</v>
      </c>
      <c r="I97">
        <v>0.23374043320037374</v>
      </c>
      <c r="J97">
        <v>2.9756910442351288</v>
      </c>
    </row>
    <row r="98" spans="1:10" x14ac:dyDescent="0.2">
      <c r="A98" t="s">
        <v>379</v>
      </c>
      <c r="B98" t="s">
        <v>386</v>
      </c>
      <c r="C98" t="s">
        <v>250</v>
      </c>
      <c r="D98" t="s">
        <v>125</v>
      </c>
      <c r="E98">
        <v>7</v>
      </c>
      <c r="F98">
        <v>382.24825400662462</v>
      </c>
      <c r="G98">
        <v>345.47485218340984</v>
      </c>
      <c r="H98">
        <v>0</v>
      </c>
      <c r="I98">
        <v>0.90379707052219138</v>
      </c>
      <c r="J98">
        <v>2.6156854592200789</v>
      </c>
    </row>
    <row r="99" spans="1:10" x14ac:dyDescent="0.2">
      <c r="A99" t="s">
        <v>379</v>
      </c>
      <c r="B99" t="s">
        <v>387</v>
      </c>
      <c r="C99" t="s">
        <v>254</v>
      </c>
      <c r="D99" t="s">
        <v>128</v>
      </c>
      <c r="E99">
        <v>8</v>
      </c>
      <c r="F99">
        <v>352.50604310675192</v>
      </c>
      <c r="G99">
        <v>148.48426548913886</v>
      </c>
      <c r="H99">
        <v>79.43860851780002</v>
      </c>
      <c r="I99">
        <v>0.42122473754066203</v>
      </c>
      <c r="J99">
        <v>2.4121625712528632</v>
      </c>
    </row>
    <row r="100" spans="1:10" x14ac:dyDescent="0.2">
      <c r="A100" t="s">
        <v>379</v>
      </c>
      <c r="B100" t="s">
        <v>388</v>
      </c>
      <c r="C100" t="s">
        <v>298</v>
      </c>
      <c r="D100" t="s">
        <v>54</v>
      </c>
      <c r="E100">
        <v>9</v>
      </c>
      <c r="F100">
        <v>305.93455277644955</v>
      </c>
      <c r="G100">
        <v>243.60962335574766</v>
      </c>
      <c r="H100">
        <v>42.451908326630864</v>
      </c>
      <c r="I100">
        <v>0.79628018850736504</v>
      </c>
      <c r="J100">
        <v>2.0934786562988155</v>
      </c>
    </row>
    <row r="101" spans="1:10" x14ac:dyDescent="0.2">
      <c r="A101" t="s">
        <v>379</v>
      </c>
      <c r="B101" s="111" t="s">
        <v>553</v>
      </c>
      <c r="C101" t="s">
        <v>296</v>
      </c>
      <c r="D101" t="s">
        <v>235</v>
      </c>
      <c r="E101">
        <v>10</v>
      </c>
      <c r="F101">
        <v>305.15532533687792</v>
      </c>
      <c r="G101">
        <v>105.2332574697048</v>
      </c>
      <c r="H101">
        <v>35.43997463814793</v>
      </c>
      <c r="I101">
        <v>0.34485145344762363</v>
      </c>
      <c r="J101">
        <v>2.0881464831319043</v>
      </c>
    </row>
    <row r="102" spans="1:10" x14ac:dyDescent="0.2">
      <c r="A102" t="s">
        <v>389</v>
      </c>
      <c r="B102" t="s">
        <v>390</v>
      </c>
      <c r="C102" t="s">
        <v>250</v>
      </c>
      <c r="D102" t="s">
        <v>125</v>
      </c>
      <c r="E102">
        <v>1</v>
      </c>
      <c r="F102">
        <v>4294.5476822782402</v>
      </c>
      <c r="G102">
        <v>809.00327632014557</v>
      </c>
      <c r="H102">
        <v>3.4179120722143774</v>
      </c>
      <c r="I102">
        <v>0.1883791579864291</v>
      </c>
      <c r="J102">
        <v>12.231007372980788</v>
      </c>
    </row>
    <row r="103" spans="1:10" x14ac:dyDescent="0.2">
      <c r="A103" t="s">
        <v>389</v>
      </c>
      <c r="B103" t="s">
        <v>391</v>
      </c>
      <c r="C103" t="s">
        <v>291</v>
      </c>
      <c r="D103" t="s">
        <v>43</v>
      </c>
      <c r="E103">
        <v>2</v>
      </c>
      <c r="F103">
        <v>2596.9321119014871</v>
      </c>
      <c r="G103">
        <v>499.83033130707668</v>
      </c>
      <c r="H103">
        <v>409.82679664567706</v>
      </c>
      <c r="I103">
        <v>0.19246954089265672</v>
      </c>
      <c r="J103">
        <v>7.3961446368078185</v>
      </c>
    </row>
    <row r="104" spans="1:10" x14ac:dyDescent="0.2">
      <c r="A104" t="s">
        <v>389</v>
      </c>
      <c r="B104" t="s">
        <v>392</v>
      </c>
      <c r="C104" t="s">
        <v>393</v>
      </c>
      <c r="D104" t="s">
        <v>126</v>
      </c>
      <c r="E104">
        <v>3</v>
      </c>
      <c r="F104">
        <v>1520.10941957154</v>
      </c>
      <c r="G104">
        <v>570.57976526942514</v>
      </c>
      <c r="H104">
        <v>12.031486942563632</v>
      </c>
      <c r="I104">
        <v>0.37535440404694648</v>
      </c>
      <c r="J104">
        <v>4.3293196150179476</v>
      </c>
    </row>
    <row r="105" spans="1:10" x14ac:dyDescent="0.2">
      <c r="A105" t="s">
        <v>389</v>
      </c>
      <c r="B105" t="s">
        <v>394</v>
      </c>
      <c r="C105" t="s">
        <v>254</v>
      </c>
      <c r="D105" t="s">
        <v>128</v>
      </c>
      <c r="E105">
        <v>4</v>
      </c>
      <c r="F105">
        <v>1180.0032502226454</v>
      </c>
      <c r="G105">
        <v>737.19227266591633</v>
      </c>
      <c r="H105">
        <v>594.68818753984965</v>
      </c>
      <c r="I105">
        <v>0.62473749333048145</v>
      </c>
      <c r="J105">
        <v>3.3606865079579271</v>
      </c>
    </row>
    <row r="106" spans="1:10" x14ac:dyDescent="0.2">
      <c r="A106" t="s">
        <v>389</v>
      </c>
      <c r="B106" t="s">
        <v>395</v>
      </c>
      <c r="C106" t="s">
        <v>273</v>
      </c>
      <c r="D106" t="s">
        <v>132</v>
      </c>
      <c r="E106">
        <v>5</v>
      </c>
      <c r="F106">
        <v>1121.2563482624844</v>
      </c>
      <c r="G106">
        <v>730.06457817030514</v>
      </c>
      <c r="H106">
        <v>474.9040042153556</v>
      </c>
      <c r="I106">
        <v>0.65111299418872781</v>
      </c>
      <c r="J106">
        <v>3.1933734766043367</v>
      </c>
    </row>
    <row r="107" spans="1:10" x14ac:dyDescent="0.2">
      <c r="A107" t="s">
        <v>389</v>
      </c>
      <c r="B107" t="s">
        <v>396</v>
      </c>
      <c r="C107" t="s">
        <v>397</v>
      </c>
      <c r="D107" t="s">
        <v>225</v>
      </c>
      <c r="E107">
        <v>6</v>
      </c>
      <c r="F107">
        <v>1081.7416031082355</v>
      </c>
      <c r="G107">
        <v>53.249059923603127</v>
      </c>
      <c r="H107">
        <v>0</v>
      </c>
      <c r="I107">
        <v>4.9225304611192996E-2</v>
      </c>
      <c r="J107">
        <v>3.0808342349707023</v>
      </c>
    </row>
    <row r="108" spans="1:10" x14ac:dyDescent="0.2">
      <c r="A108" t="s">
        <v>389</v>
      </c>
      <c r="B108" t="s">
        <v>398</v>
      </c>
      <c r="C108" t="s">
        <v>275</v>
      </c>
      <c r="D108" t="s">
        <v>130</v>
      </c>
      <c r="E108">
        <v>7</v>
      </c>
      <c r="F108">
        <v>743.55386588567706</v>
      </c>
      <c r="G108">
        <v>671.28278406181698</v>
      </c>
      <c r="H108">
        <v>26.447253893950229</v>
      </c>
      <c r="I108">
        <v>0.90280316579650211</v>
      </c>
      <c r="J108">
        <v>2.1176648831691476</v>
      </c>
    </row>
    <row r="109" spans="1:10" x14ac:dyDescent="0.2">
      <c r="A109" t="s">
        <v>389</v>
      </c>
      <c r="B109" t="s">
        <v>399</v>
      </c>
      <c r="C109" t="s">
        <v>359</v>
      </c>
      <c r="D109" t="s">
        <v>52</v>
      </c>
      <c r="E109">
        <v>8</v>
      </c>
      <c r="F109">
        <v>731.24968818287562</v>
      </c>
      <c r="G109">
        <v>118.63158469790825</v>
      </c>
      <c r="H109">
        <v>61.647363519817034</v>
      </c>
      <c r="I109">
        <v>0.16223129611542494</v>
      </c>
      <c r="J109">
        <v>2.0826221966430558</v>
      </c>
    </row>
    <row r="110" spans="1:10" x14ac:dyDescent="0.2">
      <c r="A110" t="s">
        <v>389</v>
      </c>
      <c r="B110" t="s">
        <v>400</v>
      </c>
      <c r="C110" t="s">
        <v>270</v>
      </c>
      <c r="D110" t="s">
        <v>55</v>
      </c>
      <c r="E110">
        <v>9</v>
      </c>
      <c r="F110">
        <v>697.37112850464405</v>
      </c>
      <c r="G110">
        <v>37.790829975819797</v>
      </c>
      <c r="H110">
        <v>124.90256049329591</v>
      </c>
      <c r="I110">
        <v>5.4190413728273719E-2</v>
      </c>
      <c r="J110">
        <v>1.9861349891729088</v>
      </c>
    </row>
    <row r="111" spans="1:10" x14ac:dyDescent="0.2">
      <c r="A111" t="s">
        <v>389</v>
      </c>
      <c r="B111" s="111" t="s">
        <v>554</v>
      </c>
      <c r="C111" t="s">
        <v>338</v>
      </c>
      <c r="D111" t="s">
        <v>127</v>
      </c>
      <c r="E111">
        <v>10</v>
      </c>
      <c r="F111">
        <v>632.43823065873971</v>
      </c>
      <c r="G111">
        <v>216.79899232253652</v>
      </c>
      <c r="H111">
        <v>13.696886184895039</v>
      </c>
      <c r="I111">
        <v>0.34279868264244778</v>
      </c>
      <c r="J111">
        <v>1.8012040462520591</v>
      </c>
    </row>
    <row r="112" spans="1:10" x14ac:dyDescent="0.2">
      <c r="A112" t="s">
        <v>401</v>
      </c>
      <c r="B112" t="s">
        <v>402</v>
      </c>
      <c r="C112" t="s">
        <v>302</v>
      </c>
      <c r="D112" t="s">
        <v>49</v>
      </c>
      <c r="E112">
        <v>1</v>
      </c>
      <c r="F112">
        <v>554.25441902125226</v>
      </c>
      <c r="G112">
        <v>78.79465042680836</v>
      </c>
      <c r="H112">
        <v>103.58294852696224</v>
      </c>
      <c r="I112">
        <v>0.14216332377818547</v>
      </c>
      <c r="J112">
        <v>7.4560973127114316</v>
      </c>
    </row>
    <row r="113" spans="1:10" x14ac:dyDescent="0.2">
      <c r="A113" t="s">
        <v>401</v>
      </c>
      <c r="B113" t="s">
        <v>403</v>
      </c>
      <c r="C113" t="s">
        <v>262</v>
      </c>
      <c r="D113" t="s">
        <v>44</v>
      </c>
      <c r="E113">
        <v>2</v>
      </c>
      <c r="F113">
        <v>352.54494184613714</v>
      </c>
      <c r="G113">
        <v>112.27640798478157</v>
      </c>
      <c r="H113">
        <v>46.306771979881873</v>
      </c>
      <c r="I113">
        <v>0.31847402886234827</v>
      </c>
      <c r="J113">
        <v>4.7426043046274744</v>
      </c>
    </row>
    <row r="114" spans="1:10" x14ac:dyDescent="0.2">
      <c r="A114" t="s">
        <v>401</v>
      </c>
      <c r="B114" t="s">
        <v>404</v>
      </c>
      <c r="C114" t="s">
        <v>291</v>
      </c>
      <c r="D114" t="s">
        <v>43</v>
      </c>
      <c r="E114">
        <v>3</v>
      </c>
      <c r="F114">
        <v>255.89506166290653</v>
      </c>
      <c r="G114">
        <v>110.22767654310078</v>
      </c>
      <c r="H114">
        <v>107.37874427297515</v>
      </c>
      <c r="I114">
        <v>0.43075343395373905</v>
      </c>
      <c r="J114">
        <v>3.4424235804383621</v>
      </c>
    </row>
    <row r="115" spans="1:10" x14ac:dyDescent="0.2">
      <c r="A115" t="s">
        <v>401</v>
      </c>
      <c r="B115" t="s">
        <v>405</v>
      </c>
      <c r="C115" t="s">
        <v>254</v>
      </c>
      <c r="D115" t="s">
        <v>128</v>
      </c>
      <c r="E115">
        <v>4</v>
      </c>
      <c r="F115">
        <v>249.3416187794551</v>
      </c>
      <c r="G115">
        <v>31.820826960759529</v>
      </c>
      <c r="H115">
        <v>32.485647823924971</v>
      </c>
      <c r="I115">
        <v>0.12761939669969552</v>
      </c>
      <c r="J115">
        <v>3.3542635113520451</v>
      </c>
    </row>
    <row r="116" spans="1:10" x14ac:dyDescent="0.2">
      <c r="A116" t="s">
        <v>401</v>
      </c>
      <c r="B116" t="s">
        <v>406</v>
      </c>
      <c r="C116" t="s">
        <v>275</v>
      </c>
      <c r="D116" t="s">
        <v>130</v>
      </c>
      <c r="E116">
        <v>5</v>
      </c>
      <c r="F116">
        <v>195.5787219163588</v>
      </c>
      <c r="G116">
        <v>110.8952889210355</v>
      </c>
      <c r="H116">
        <v>20</v>
      </c>
      <c r="I116">
        <v>0.56701101139448584</v>
      </c>
      <c r="J116">
        <v>2.6310191364449622</v>
      </c>
    </row>
    <row r="117" spans="1:10" x14ac:dyDescent="0.2">
      <c r="A117" t="s">
        <v>401</v>
      </c>
      <c r="B117" t="s">
        <v>407</v>
      </c>
      <c r="C117" t="s">
        <v>393</v>
      </c>
      <c r="D117" t="s">
        <v>126</v>
      </c>
      <c r="E117">
        <v>6</v>
      </c>
      <c r="F117">
        <v>193.37381766630492</v>
      </c>
      <c r="G117">
        <v>177.79325378868458</v>
      </c>
      <c r="H117">
        <v>0</v>
      </c>
      <c r="I117">
        <v>0.91942774846330588</v>
      </c>
      <c r="J117">
        <v>2.6013577028335821</v>
      </c>
    </row>
    <row r="118" spans="1:10" x14ac:dyDescent="0.2">
      <c r="A118" t="s">
        <v>401</v>
      </c>
      <c r="B118" t="s">
        <v>408</v>
      </c>
      <c r="C118" t="s">
        <v>284</v>
      </c>
      <c r="D118" t="s">
        <v>124</v>
      </c>
      <c r="E118">
        <v>7</v>
      </c>
      <c r="F118">
        <v>177.92751870528249</v>
      </c>
      <c r="G118">
        <v>71.795329183245002</v>
      </c>
      <c r="H118">
        <v>16.684656613763881</v>
      </c>
      <c r="I118">
        <v>0.40350885408662457</v>
      </c>
      <c r="J118">
        <v>2.3935666519692669</v>
      </c>
    </row>
    <row r="119" spans="1:10" x14ac:dyDescent="0.2">
      <c r="A119" t="s">
        <v>401</v>
      </c>
      <c r="B119" t="s">
        <v>409</v>
      </c>
      <c r="C119" t="s">
        <v>331</v>
      </c>
      <c r="D119" t="s">
        <v>45</v>
      </c>
      <c r="E119">
        <v>8</v>
      </c>
      <c r="F119">
        <v>175.51624823320947</v>
      </c>
      <c r="G119">
        <v>18.277506672211128</v>
      </c>
      <c r="H119">
        <v>33.154593713130126</v>
      </c>
      <c r="I119">
        <v>0.10413569601787351</v>
      </c>
      <c r="J119">
        <v>2.3611290805759841</v>
      </c>
    </row>
    <row r="120" spans="1:10" x14ac:dyDescent="0.2">
      <c r="A120" t="s">
        <v>401</v>
      </c>
      <c r="B120" t="s">
        <v>410</v>
      </c>
      <c r="C120" t="s">
        <v>411</v>
      </c>
      <c r="D120" t="s">
        <v>412</v>
      </c>
      <c r="E120">
        <v>9</v>
      </c>
      <c r="F120">
        <v>158.82957731759095</v>
      </c>
      <c r="G120">
        <v>13.650449448686555</v>
      </c>
      <c r="H120">
        <v>145.1791278689044</v>
      </c>
      <c r="I120">
        <v>8.5944001609923812E-2</v>
      </c>
      <c r="J120">
        <v>2.1366519489515765</v>
      </c>
    </row>
    <row r="121" spans="1:10" x14ac:dyDescent="0.2">
      <c r="A121" t="s">
        <v>401</v>
      </c>
      <c r="B121" s="111" t="s">
        <v>555</v>
      </c>
      <c r="C121" t="s">
        <v>266</v>
      </c>
      <c r="D121" t="s">
        <v>48</v>
      </c>
      <c r="E121">
        <v>10</v>
      </c>
      <c r="F121">
        <v>152.97635836506376</v>
      </c>
      <c r="G121">
        <v>19.912118340853063</v>
      </c>
      <c r="H121">
        <v>0</v>
      </c>
      <c r="I121">
        <v>0.13016467742900936</v>
      </c>
      <c r="J121">
        <v>2.0579116293349706</v>
      </c>
    </row>
    <row r="122" spans="1:10" x14ac:dyDescent="0.2">
      <c r="A122" t="s">
        <v>413</v>
      </c>
      <c r="B122" t="s">
        <v>414</v>
      </c>
      <c r="C122" t="s">
        <v>291</v>
      </c>
      <c r="D122" t="s">
        <v>43</v>
      </c>
      <c r="E122">
        <v>1</v>
      </c>
      <c r="F122">
        <v>826.02016516767549</v>
      </c>
      <c r="G122">
        <v>0</v>
      </c>
      <c r="H122">
        <v>359.07011830360517</v>
      </c>
      <c r="J122">
        <v>23.398053751580722</v>
      </c>
    </row>
    <row r="123" spans="1:10" x14ac:dyDescent="0.2">
      <c r="A123" t="s">
        <v>413</v>
      </c>
      <c r="B123" t="s">
        <v>415</v>
      </c>
      <c r="C123" t="s">
        <v>320</v>
      </c>
      <c r="D123" t="s">
        <v>158</v>
      </c>
      <c r="E123">
        <v>2</v>
      </c>
      <c r="F123">
        <v>203.05898119070693</v>
      </c>
      <c r="G123">
        <v>195.6441898459351</v>
      </c>
      <c r="H123">
        <v>195.6441898459351</v>
      </c>
      <c r="I123">
        <v>0.96348454374540526</v>
      </c>
      <c r="J123">
        <v>5.7518994777529757</v>
      </c>
    </row>
    <row r="124" spans="1:10" x14ac:dyDescent="0.2">
      <c r="A124" t="s">
        <v>413</v>
      </c>
      <c r="B124" t="s">
        <v>416</v>
      </c>
      <c r="C124" t="s">
        <v>302</v>
      </c>
      <c r="D124" t="s">
        <v>49</v>
      </c>
      <c r="E124">
        <v>3</v>
      </c>
      <c r="F124">
        <v>146.44866428023431</v>
      </c>
      <c r="G124">
        <v>69.175087869064257</v>
      </c>
      <c r="H124">
        <v>93.452131292169923</v>
      </c>
      <c r="I124">
        <v>0.47235041855141446</v>
      </c>
      <c r="J124">
        <v>4.1483414850780873</v>
      </c>
    </row>
    <row r="125" spans="1:10" x14ac:dyDescent="0.2">
      <c r="A125" t="s">
        <v>413</v>
      </c>
      <c r="B125" t="s">
        <v>417</v>
      </c>
      <c r="C125" t="s">
        <v>252</v>
      </c>
      <c r="D125" t="s">
        <v>131</v>
      </c>
      <c r="E125">
        <v>4</v>
      </c>
      <c r="F125">
        <v>108.39388980639742</v>
      </c>
      <c r="G125">
        <v>5.6880065818328491</v>
      </c>
      <c r="H125">
        <v>0</v>
      </c>
      <c r="I125">
        <v>5.2475343324169019E-2</v>
      </c>
      <c r="J125">
        <v>3.070392427427211</v>
      </c>
    </row>
    <row r="126" spans="1:10" x14ac:dyDescent="0.2">
      <c r="A126" t="s">
        <v>413</v>
      </c>
      <c r="B126" t="s">
        <v>418</v>
      </c>
      <c r="C126" t="s">
        <v>351</v>
      </c>
      <c r="D126" t="s">
        <v>193</v>
      </c>
      <c r="E126">
        <v>5</v>
      </c>
      <c r="F126">
        <v>105.30128718062655</v>
      </c>
      <c r="G126">
        <v>11.582638586936481</v>
      </c>
      <c r="H126">
        <v>4.7634617153428147</v>
      </c>
      <c r="I126">
        <v>0.10999522320243268</v>
      </c>
      <c r="J126">
        <v>2.9827905921192581</v>
      </c>
    </row>
    <row r="127" spans="1:10" x14ac:dyDescent="0.2">
      <c r="A127" t="s">
        <v>413</v>
      </c>
      <c r="B127" t="s">
        <v>419</v>
      </c>
      <c r="C127" t="s">
        <v>270</v>
      </c>
      <c r="D127" t="s">
        <v>55</v>
      </c>
      <c r="E127">
        <v>6</v>
      </c>
      <c r="F127">
        <v>97.830178570613398</v>
      </c>
      <c r="G127">
        <v>0</v>
      </c>
      <c r="H127">
        <v>5.8301785706134019</v>
      </c>
      <c r="J127">
        <v>2.7711621014207286</v>
      </c>
    </row>
    <row r="128" spans="1:10" x14ac:dyDescent="0.2">
      <c r="A128" t="s">
        <v>413</v>
      </c>
      <c r="B128" t="s">
        <v>420</v>
      </c>
      <c r="C128" t="s">
        <v>273</v>
      </c>
      <c r="D128" t="s">
        <v>132</v>
      </c>
      <c r="E128">
        <v>7</v>
      </c>
      <c r="F128">
        <v>84.184848018757918</v>
      </c>
      <c r="G128">
        <v>67.324873914696909</v>
      </c>
      <c r="H128">
        <v>44.693203851398785</v>
      </c>
      <c r="I128">
        <v>0.79972673823317586</v>
      </c>
      <c r="J128">
        <v>2.3846410560833049</v>
      </c>
    </row>
    <row r="129" spans="1:10" x14ac:dyDescent="0.2">
      <c r="A129" t="s">
        <v>413</v>
      </c>
      <c r="B129" t="s">
        <v>421</v>
      </c>
      <c r="C129" t="s">
        <v>254</v>
      </c>
      <c r="D129" t="s">
        <v>128</v>
      </c>
      <c r="E129">
        <v>8</v>
      </c>
      <c r="F129">
        <v>79.421271312952769</v>
      </c>
      <c r="G129">
        <v>63.855967386543711</v>
      </c>
      <c r="H129">
        <v>22.193063031060738</v>
      </c>
      <c r="I129">
        <v>0.8040159308823539</v>
      </c>
      <c r="J129">
        <v>2.2497067911436814</v>
      </c>
    </row>
    <row r="130" spans="1:10" x14ac:dyDescent="0.2">
      <c r="A130" t="s">
        <v>413</v>
      </c>
      <c r="B130" t="s">
        <v>422</v>
      </c>
      <c r="C130" t="s">
        <v>275</v>
      </c>
      <c r="D130" t="s">
        <v>130</v>
      </c>
      <c r="E130">
        <v>9</v>
      </c>
      <c r="F130">
        <v>78.950800167586237</v>
      </c>
      <c r="G130">
        <v>68.950800167586237</v>
      </c>
      <c r="H130">
        <v>18.50143640625766</v>
      </c>
      <c r="I130">
        <v>0.87333883914066313</v>
      </c>
      <c r="J130">
        <v>2.2363801078349037</v>
      </c>
    </row>
    <row r="131" spans="1:10" x14ac:dyDescent="0.2">
      <c r="A131" t="s">
        <v>413</v>
      </c>
      <c r="B131" s="111" t="s">
        <v>556</v>
      </c>
      <c r="C131" t="s">
        <v>372</v>
      </c>
      <c r="D131" t="s">
        <v>373</v>
      </c>
      <c r="E131">
        <v>10</v>
      </c>
      <c r="F131">
        <v>73.429389773824539</v>
      </c>
      <c r="G131">
        <v>10</v>
      </c>
      <c r="H131">
        <v>61.99435634802537</v>
      </c>
      <c r="I131">
        <v>0.13618525267337456</v>
      </c>
      <c r="J131">
        <v>2.0799792563477633</v>
      </c>
    </row>
    <row r="132" spans="1:10" x14ac:dyDescent="0.2">
      <c r="A132" t="s">
        <v>423</v>
      </c>
      <c r="B132" t="s">
        <v>424</v>
      </c>
      <c r="C132" t="s">
        <v>291</v>
      </c>
      <c r="D132" t="s">
        <v>43</v>
      </c>
      <c r="E132">
        <v>1</v>
      </c>
      <c r="F132">
        <v>878.64721390674765</v>
      </c>
      <c r="G132">
        <v>262.0598988406872</v>
      </c>
      <c r="H132">
        <v>243.45159913608975</v>
      </c>
      <c r="I132">
        <v>0.29825383236064079</v>
      </c>
      <c r="J132">
        <v>4.7164174520134523</v>
      </c>
    </row>
    <row r="133" spans="1:10" x14ac:dyDescent="0.2">
      <c r="A133" t="s">
        <v>423</v>
      </c>
      <c r="B133" t="s">
        <v>425</v>
      </c>
      <c r="C133" t="s">
        <v>262</v>
      </c>
      <c r="D133" t="s">
        <v>44</v>
      </c>
      <c r="E133">
        <v>2</v>
      </c>
      <c r="F133">
        <v>830.82773469619292</v>
      </c>
      <c r="G133">
        <v>538.45140500433536</v>
      </c>
      <c r="H133">
        <v>110</v>
      </c>
      <c r="I133">
        <v>0.64809031104532133</v>
      </c>
      <c r="J133">
        <v>4.4597312385648866</v>
      </c>
    </row>
    <row r="134" spans="1:10" x14ac:dyDescent="0.2">
      <c r="A134" t="s">
        <v>423</v>
      </c>
      <c r="B134" t="s">
        <v>426</v>
      </c>
      <c r="C134" t="s">
        <v>302</v>
      </c>
      <c r="D134" t="s">
        <v>49</v>
      </c>
      <c r="E134">
        <v>3</v>
      </c>
      <c r="F134">
        <v>741.47642655809511</v>
      </c>
      <c r="G134">
        <v>198.68986762133218</v>
      </c>
      <c r="H134">
        <v>230.77074099136894</v>
      </c>
      <c r="I134">
        <v>0.26796518473775743</v>
      </c>
      <c r="J134">
        <v>3.9801097677484072</v>
      </c>
    </row>
    <row r="135" spans="1:10" x14ac:dyDescent="0.2">
      <c r="A135" t="s">
        <v>423</v>
      </c>
      <c r="B135" t="s">
        <v>427</v>
      </c>
      <c r="C135" t="s">
        <v>250</v>
      </c>
      <c r="D135" t="s">
        <v>125</v>
      </c>
      <c r="E135">
        <v>4</v>
      </c>
      <c r="F135">
        <v>659.19263587475041</v>
      </c>
      <c r="G135">
        <v>378.80006339016319</v>
      </c>
      <c r="H135">
        <v>0</v>
      </c>
      <c r="I135">
        <v>0.57464243799916614</v>
      </c>
      <c r="J135">
        <v>3.5384254372749746</v>
      </c>
    </row>
    <row r="136" spans="1:10" x14ac:dyDescent="0.2">
      <c r="A136" t="s">
        <v>423</v>
      </c>
      <c r="B136" t="s">
        <v>428</v>
      </c>
      <c r="C136" t="s">
        <v>254</v>
      </c>
      <c r="D136" t="s">
        <v>128</v>
      </c>
      <c r="E136">
        <v>5</v>
      </c>
      <c r="F136">
        <v>656.02438125458298</v>
      </c>
      <c r="G136">
        <v>181.01869610684579</v>
      </c>
      <c r="H136">
        <v>130.70760692084178</v>
      </c>
      <c r="I136">
        <v>0.27593287883701073</v>
      </c>
      <c r="J136">
        <v>3.5214188262637824</v>
      </c>
    </row>
    <row r="137" spans="1:10" x14ac:dyDescent="0.2">
      <c r="A137" t="s">
        <v>423</v>
      </c>
      <c r="B137" t="s">
        <v>429</v>
      </c>
      <c r="C137" t="s">
        <v>349</v>
      </c>
      <c r="D137" t="s">
        <v>46</v>
      </c>
      <c r="E137">
        <v>6</v>
      </c>
      <c r="F137">
        <v>633.87065759217114</v>
      </c>
      <c r="G137">
        <v>284.43736646577099</v>
      </c>
      <c r="H137">
        <v>26.74810343521726</v>
      </c>
      <c r="I137">
        <v>0.44873092492755268</v>
      </c>
      <c r="J137">
        <v>3.4025016917702882</v>
      </c>
    </row>
    <row r="138" spans="1:10" x14ac:dyDescent="0.2">
      <c r="A138" t="s">
        <v>423</v>
      </c>
      <c r="B138" t="s">
        <v>430</v>
      </c>
      <c r="C138" t="s">
        <v>294</v>
      </c>
      <c r="D138" t="s">
        <v>123</v>
      </c>
      <c r="E138">
        <v>7</v>
      </c>
      <c r="F138">
        <v>514.98077685977273</v>
      </c>
      <c r="G138">
        <v>409.24224959522189</v>
      </c>
      <c r="H138">
        <v>149.80634544830579</v>
      </c>
      <c r="I138">
        <v>0.79467480726306217</v>
      </c>
      <c r="J138">
        <v>2.7643225688195914</v>
      </c>
    </row>
    <row r="139" spans="1:10" x14ac:dyDescent="0.2">
      <c r="A139" t="s">
        <v>423</v>
      </c>
      <c r="B139" t="s">
        <v>431</v>
      </c>
      <c r="C139" t="s">
        <v>331</v>
      </c>
      <c r="D139" t="s">
        <v>45</v>
      </c>
      <c r="E139">
        <v>8</v>
      </c>
      <c r="F139">
        <v>495.46196285914669</v>
      </c>
      <c r="G139">
        <v>71.568643556987254</v>
      </c>
      <c r="H139">
        <v>254.20849384992852</v>
      </c>
      <c r="I139">
        <v>0.1444483107118624</v>
      </c>
      <c r="J139">
        <v>2.6595491472027013</v>
      </c>
    </row>
    <row r="140" spans="1:10" x14ac:dyDescent="0.2">
      <c r="A140" t="s">
        <v>423</v>
      </c>
      <c r="B140" t="s">
        <v>432</v>
      </c>
      <c r="C140" t="s">
        <v>266</v>
      </c>
      <c r="D140" t="s">
        <v>48</v>
      </c>
      <c r="E140">
        <v>9</v>
      </c>
      <c r="F140">
        <v>487.29154279414502</v>
      </c>
      <c r="G140">
        <v>86.795671717553049</v>
      </c>
      <c r="H140">
        <v>16.214770355174863</v>
      </c>
      <c r="I140">
        <v>0.17811856782874569</v>
      </c>
      <c r="J140">
        <v>2.6156918274787646</v>
      </c>
    </row>
    <row r="141" spans="1:10" x14ac:dyDescent="0.2">
      <c r="A141" t="s">
        <v>423</v>
      </c>
      <c r="B141" s="111" t="s">
        <v>557</v>
      </c>
      <c r="C141" t="s">
        <v>359</v>
      </c>
      <c r="D141" t="s">
        <v>52</v>
      </c>
      <c r="E141">
        <v>10</v>
      </c>
      <c r="F141">
        <v>408.27668402247741</v>
      </c>
      <c r="G141">
        <v>18.325284958846272</v>
      </c>
      <c r="H141">
        <v>15.944847811426136</v>
      </c>
      <c r="I141">
        <v>4.4884475837070788E-2</v>
      </c>
      <c r="J141">
        <v>2.1915545252934265</v>
      </c>
    </row>
    <row r="142" spans="1:10" x14ac:dyDescent="0.2">
      <c r="A142" t="s">
        <v>433</v>
      </c>
      <c r="B142" t="s">
        <v>434</v>
      </c>
      <c r="C142" t="s">
        <v>250</v>
      </c>
      <c r="D142" t="s">
        <v>125</v>
      </c>
      <c r="E142">
        <v>1</v>
      </c>
      <c r="F142">
        <v>1058.5967583384413</v>
      </c>
      <c r="G142">
        <v>299.25486852158019</v>
      </c>
      <c r="H142">
        <v>11.905604601644415</v>
      </c>
      <c r="I142">
        <v>0.28269014255370145</v>
      </c>
      <c r="J142">
        <v>10.577237866083147</v>
      </c>
    </row>
    <row r="143" spans="1:10" x14ac:dyDescent="0.2">
      <c r="A143" t="s">
        <v>433</v>
      </c>
      <c r="B143" t="s">
        <v>435</v>
      </c>
      <c r="C143" t="s">
        <v>331</v>
      </c>
      <c r="D143" t="s">
        <v>45</v>
      </c>
      <c r="E143">
        <v>2</v>
      </c>
      <c r="F143">
        <v>438.60866703921738</v>
      </c>
      <c r="G143">
        <v>139.14510916876338</v>
      </c>
      <c r="H143">
        <v>79.203530004268814</v>
      </c>
      <c r="I143">
        <v>0.31724204199622436</v>
      </c>
      <c r="J143">
        <v>4.3824696843783988</v>
      </c>
    </row>
    <row r="144" spans="1:10" x14ac:dyDescent="0.2">
      <c r="A144" t="s">
        <v>433</v>
      </c>
      <c r="B144" t="s">
        <v>436</v>
      </c>
      <c r="C144" t="s">
        <v>359</v>
      </c>
      <c r="D144" t="s">
        <v>52</v>
      </c>
      <c r="E144">
        <v>3</v>
      </c>
      <c r="F144">
        <v>345.66611211768503</v>
      </c>
      <c r="G144">
        <v>303.73537486983457</v>
      </c>
      <c r="H144">
        <v>8.7353748698345548</v>
      </c>
      <c r="I144">
        <v>0.87869584035598269</v>
      </c>
      <c r="J144">
        <v>3.4538105858661701</v>
      </c>
    </row>
    <row r="145" spans="1:10" x14ac:dyDescent="0.2">
      <c r="A145" t="s">
        <v>433</v>
      </c>
      <c r="B145" t="s">
        <v>437</v>
      </c>
      <c r="C145" t="s">
        <v>273</v>
      </c>
      <c r="D145" t="s">
        <v>132</v>
      </c>
      <c r="E145">
        <v>4</v>
      </c>
      <c r="F145">
        <v>339.00650442515939</v>
      </c>
      <c r="G145">
        <v>181.63822688637256</v>
      </c>
      <c r="H145">
        <v>92.601456246410379</v>
      </c>
      <c r="I145">
        <v>0.53579569865294974</v>
      </c>
      <c r="J145">
        <v>3.3872694273902999</v>
      </c>
    </row>
    <row r="146" spans="1:10" x14ac:dyDescent="0.2">
      <c r="A146" t="s">
        <v>433</v>
      </c>
      <c r="B146" t="s">
        <v>438</v>
      </c>
      <c r="C146" t="s">
        <v>270</v>
      </c>
      <c r="D146" t="s">
        <v>55</v>
      </c>
      <c r="E146">
        <v>5</v>
      </c>
      <c r="F146">
        <v>310.62454591401678</v>
      </c>
      <c r="G146">
        <v>0</v>
      </c>
      <c r="H146">
        <v>25</v>
      </c>
      <c r="J146">
        <v>3.1036838940765077</v>
      </c>
    </row>
    <row r="147" spans="1:10" x14ac:dyDescent="0.2">
      <c r="A147" t="s">
        <v>433</v>
      </c>
      <c r="B147" t="s">
        <v>439</v>
      </c>
      <c r="C147" t="s">
        <v>291</v>
      </c>
      <c r="D147" t="s">
        <v>43</v>
      </c>
      <c r="E147">
        <v>6</v>
      </c>
      <c r="F147">
        <v>281.23733884492725</v>
      </c>
      <c r="G147">
        <v>73.996361192706061</v>
      </c>
      <c r="H147">
        <v>60.263426877802388</v>
      </c>
      <c r="I147">
        <v>0.26311001766912345</v>
      </c>
      <c r="J147">
        <v>2.8100541649646567</v>
      </c>
    </row>
    <row r="148" spans="1:10" x14ac:dyDescent="0.2">
      <c r="A148" t="s">
        <v>433</v>
      </c>
      <c r="B148" t="s">
        <v>440</v>
      </c>
      <c r="C148" t="s">
        <v>254</v>
      </c>
      <c r="D148" t="s">
        <v>128</v>
      </c>
      <c r="E148">
        <v>7</v>
      </c>
      <c r="F148">
        <v>280.45456209738023</v>
      </c>
      <c r="G148">
        <v>62.857452136618946</v>
      </c>
      <c r="H148">
        <v>0</v>
      </c>
      <c r="I148">
        <v>0.22412704456129831</v>
      </c>
      <c r="J148">
        <v>2.8022328526569944</v>
      </c>
    </row>
    <row r="149" spans="1:10" x14ac:dyDescent="0.2">
      <c r="A149" t="s">
        <v>433</v>
      </c>
      <c r="B149" t="s">
        <v>441</v>
      </c>
      <c r="C149" t="s">
        <v>284</v>
      </c>
      <c r="D149" t="s">
        <v>124</v>
      </c>
      <c r="E149">
        <v>8</v>
      </c>
      <c r="F149">
        <v>278.8904891739794</v>
      </c>
      <c r="G149">
        <v>149.90101683634421</v>
      </c>
      <c r="H149">
        <v>8.7353748698345548</v>
      </c>
      <c r="I149">
        <v>0.53749060170650675</v>
      </c>
      <c r="J149">
        <v>2.786605021549069</v>
      </c>
    </row>
    <row r="150" spans="1:10" x14ac:dyDescent="0.2">
      <c r="A150" t="s">
        <v>433</v>
      </c>
      <c r="B150" t="s">
        <v>442</v>
      </c>
      <c r="C150" t="s">
        <v>252</v>
      </c>
      <c r="D150" t="s">
        <v>131</v>
      </c>
      <c r="E150">
        <v>9</v>
      </c>
      <c r="F150">
        <v>273.86335501792109</v>
      </c>
      <c r="G150">
        <v>66.672806255960808</v>
      </c>
      <c r="H150">
        <v>64.013814075911824</v>
      </c>
      <c r="I150">
        <v>0.24345282066524696</v>
      </c>
      <c r="J150">
        <v>2.7363751362461897</v>
      </c>
    </row>
    <row r="151" spans="1:10" x14ac:dyDescent="0.2">
      <c r="A151" t="s">
        <v>433</v>
      </c>
      <c r="B151" s="111" t="s">
        <v>558</v>
      </c>
      <c r="C151" t="s">
        <v>393</v>
      </c>
      <c r="D151" t="s">
        <v>126</v>
      </c>
      <c r="E151">
        <v>10</v>
      </c>
      <c r="F151">
        <v>228.67573287196325</v>
      </c>
      <c r="G151">
        <v>163.73233300930025</v>
      </c>
      <c r="H151">
        <v>0</v>
      </c>
      <c r="I151">
        <v>0.71600222267998526</v>
      </c>
      <c r="J151">
        <v>2.2848715544756555</v>
      </c>
    </row>
    <row r="152" spans="1:10" x14ac:dyDescent="0.2">
      <c r="A152" t="s">
        <v>443</v>
      </c>
      <c r="B152" t="s">
        <v>444</v>
      </c>
      <c r="C152" t="s">
        <v>291</v>
      </c>
      <c r="D152" t="s">
        <v>43</v>
      </c>
      <c r="E152">
        <v>1</v>
      </c>
      <c r="F152">
        <v>875.01198022329925</v>
      </c>
      <c r="G152">
        <v>256.37719571969546</v>
      </c>
      <c r="H152">
        <v>298.72171370037739</v>
      </c>
      <c r="I152">
        <v>0.29299849775116121</v>
      </c>
      <c r="J152">
        <v>5.8762204750860922</v>
      </c>
    </row>
    <row r="153" spans="1:10" x14ac:dyDescent="0.2">
      <c r="A153" t="s">
        <v>443</v>
      </c>
      <c r="B153" t="s">
        <v>445</v>
      </c>
      <c r="C153" t="s">
        <v>331</v>
      </c>
      <c r="D153" t="s">
        <v>45</v>
      </c>
      <c r="E153">
        <v>2</v>
      </c>
      <c r="F153">
        <v>840.97508467760815</v>
      </c>
      <c r="G153">
        <v>64.732990650380273</v>
      </c>
      <c r="H153">
        <v>95.287712844394221</v>
      </c>
      <c r="I153">
        <v>7.6973731837960427E-2</v>
      </c>
      <c r="J153">
        <v>5.6476426875420689</v>
      </c>
    </row>
    <row r="154" spans="1:10" x14ac:dyDescent="0.2">
      <c r="A154" t="s">
        <v>443</v>
      </c>
      <c r="B154" t="s">
        <v>446</v>
      </c>
      <c r="C154" t="s">
        <v>349</v>
      </c>
      <c r="D154" t="s">
        <v>46</v>
      </c>
      <c r="E154">
        <v>3</v>
      </c>
      <c r="F154">
        <v>483.62327705722521</v>
      </c>
      <c r="G154">
        <v>267.7431491727657</v>
      </c>
      <c r="H154">
        <v>19.720784061582194</v>
      </c>
      <c r="I154">
        <v>0.55361923603417607</v>
      </c>
      <c r="J154">
        <v>3.2478149637981715</v>
      </c>
    </row>
    <row r="155" spans="1:10" x14ac:dyDescent="0.2">
      <c r="A155" t="s">
        <v>443</v>
      </c>
      <c r="B155" t="s">
        <v>447</v>
      </c>
      <c r="C155" t="s">
        <v>250</v>
      </c>
      <c r="D155" t="s">
        <v>125</v>
      </c>
      <c r="E155">
        <v>4</v>
      </c>
      <c r="F155">
        <v>446.73680080467841</v>
      </c>
      <c r="G155">
        <v>348.06840661343438</v>
      </c>
      <c r="H155">
        <v>25.348509420159957</v>
      </c>
      <c r="I155">
        <v>0.77913528947353572</v>
      </c>
      <c r="J155">
        <v>3.0001005645579712</v>
      </c>
    </row>
    <row r="156" spans="1:10" x14ac:dyDescent="0.2">
      <c r="A156" t="s">
        <v>443</v>
      </c>
      <c r="B156" t="s">
        <v>448</v>
      </c>
      <c r="C156" t="s">
        <v>252</v>
      </c>
      <c r="D156" t="s">
        <v>131</v>
      </c>
      <c r="E156">
        <v>5</v>
      </c>
      <c r="F156">
        <v>425.71738781374489</v>
      </c>
      <c r="G156">
        <v>21.186592383784536</v>
      </c>
      <c r="H156">
        <v>140.98606926406958</v>
      </c>
      <c r="I156">
        <v>4.9766800676353529E-2</v>
      </c>
      <c r="J156">
        <v>2.8589428343974155</v>
      </c>
    </row>
    <row r="157" spans="1:10" x14ac:dyDescent="0.2">
      <c r="A157" t="s">
        <v>443</v>
      </c>
      <c r="B157" t="s">
        <v>449</v>
      </c>
      <c r="C157" t="s">
        <v>359</v>
      </c>
      <c r="D157" t="s">
        <v>52</v>
      </c>
      <c r="E157">
        <v>6</v>
      </c>
      <c r="F157">
        <v>394.36519649918006</v>
      </c>
      <c r="G157">
        <v>72.316752385782237</v>
      </c>
      <c r="H157">
        <v>10</v>
      </c>
      <c r="I157">
        <v>0.18337508742593261</v>
      </c>
      <c r="J157">
        <v>2.6483944159695363</v>
      </c>
    </row>
    <row r="158" spans="1:10" x14ac:dyDescent="0.2">
      <c r="A158" t="s">
        <v>443</v>
      </c>
      <c r="B158" t="s">
        <v>450</v>
      </c>
      <c r="C158" t="s">
        <v>451</v>
      </c>
      <c r="D158" t="s">
        <v>452</v>
      </c>
      <c r="E158">
        <v>7</v>
      </c>
      <c r="F158">
        <v>367.94961046221977</v>
      </c>
      <c r="G158">
        <v>235.43774908495303</v>
      </c>
      <c r="H158">
        <v>5.4514839982780092</v>
      </c>
      <c r="I158">
        <v>0.6398641074499174</v>
      </c>
      <c r="J158">
        <v>2.4709982076431407</v>
      </c>
    </row>
    <row r="159" spans="1:10" x14ac:dyDescent="0.2">
      <c r="A159" t="s">
        <v>443</v>
      </c>
      <c r="B159" t="s">
        <v>453</v>
      </c>
      <c r="C159" t="s">
        <v>273</v>
      </c>
      <c r="D159" t="s">
        <v>132</v>
      </c>
      <c r="E159">
        <v>8</v>
      </c>
      <c r="F159">
        <v>347.68931779138927</v>
      </c>
      <c r="G159">
        <v>240.0637772670573</v>
      </c>
      <c r="H159">
        <v>3</v>
      </c>
      <c r="I159">
        <v>0.69045485432800557</v>
      </c>
      <c r="J159">
        <v>2.3349384172466836</v>
      </c>
    </row>
    <row r="160" spans="1:10" x14ac:dyDescent="0.2">
      <c r="A160" t="s">
        <v>443</v>
      </c>
      <c r="B160" t="s">
        <v>454</v>
      </c>
      <c r="C160" t="s">
        <v>298</v>
      </c>
      <c r="D160" t="s">
        <v>54</v>
      </c>
      <c r="E160">
        <v>9</v>
      </c>
      <c r="F160">
        <v>346.51262921042809</v>
      </c>
      <c r="G160">
        <v>222.2445895171719</v>
      </c>
      <c r="H160">
        <v>71.336566933273076</v>
      </c>
      <c r="I160">
        <v>0.64137514994354961</v>
      </c>
      <c r="J160">
        <v>2.3270362608322315</v>
      </c>
    </row>
    <row r="161" spans="1:10" x14ac:dyDescent="0.2">
      <c r="A161" t="s">
        <v>443</v>
      </c>
      <c r="B161" s="111" t="s">
        <v>559</v>
      </c>
      <c r="C161" t="s">
        <v>266</v>
      </c>
      <c r="D161" t="s">
        <v>48</v>
      </c>
      <c r="E161">
        <v>10</v>
      </c>
      <c r="F161">
        <v>338.35192208684111</v>
      </c>
      <c r="G161">
        <v>99.410407823767329</v>
      </c>
      <c r="H161">
        <v>6.9547914333971352</v>
      </c>
      <c r="I161">
        <v>0.29380772306726466</v>
      </c>
      <c r="J161">
        <v>2.2722323091439756</v>
      </c>
    </row>
    <row r="162" spans="1:10" x14ac:dyDescent="0.2">
      <c r="A162" t="s">
        <v>455</v>
      </c>
      <c r="B162" t="s">
        <v>456</v>
      </c>
      <c r="C162" t="s">
        <v>250</v>
      </c>
      <c r="D162" t="s">
        <v>125</v>
      </c>
      <c r="E162">
        <v>1</v>
      </c>
      <c r="F162">
        <v>2541.8629284615572</v>
      </c>
      <c r="G162">
        <v>1699.5476957172577</v>
      </c>
      <c r="H162">
        <v>39.716880445783389</v>
      </c>
      <c r="I162">
        <v>0.66862287367552731</v>
      </c>
      <c r="J162">
        <v>14.76987811406666</v>
      </c>
    </row>
    <row r="163" spans="1:10" x14ac:dyDescent="0.2">
      <c r="A163" t="s">
        <v>455</v>
      </c>
      <c r="B163" t="s">
        <v>457</v>
      </c>
      <c r="C163" t="s">
        <v>266</v>
      </c>
      <c r="D163" t="s">
        <v>48</v>
      </c>
      <c r="E163">
        <v>2</v>
      </c>
      <c r="F163">
        <v>1199.9677784912037</v>
      </c>
      <c r="G163">
        <v>72.233541545760446</v>
      </c>
      <c r="H163">
        <v>300</v>
      </c>
      <c r="I163">
        <v>6.0196234299377857E-2</v>
      </c>
      <c r="J163">
        <v>6.972593852591948</v>
      </c>
    </row>
    <row r="164" spans="1:10" x14ac:dyDescent="0.2">
      <c r="A164" t="s">
        <v>455</v>
      </c>
      <c r="B164" t="s">
        <v>458</v>
      </c>
      <c r="C164" t="s">
        <v>252</v>
      </c>
      <c r="D164" t="s">
        <v>131</v>
      </c>
      <c r="E164">
        <v>3</v>
      </c>
      <c r="F164">
        <v>680.85574972340078</v>
      </c>
      <c r="G164">
        <v>54.925959302377507</v>
      </c>
      <c r="H164">
        <v>104.37945716605002</v>
      </c>
      <c r="I164">
        <v>8.0671947508251643E-2</v>
      </c>
      <c r="J164">
        <v>3.9562150752017597</v>
      </c>
    </row>
    <row r="165" spans="1:10" x14ac:dyDescent="0.2">
      <c r="A165" t="s">
        <v>455</v>
      </c>
      <c r="B165" t="s">
        <v>459</v>
      </c>
      <c r="C165" t="s">
        <v>393</v>
      </c>
      <c r="D165" t="s">
        <v>126</v>
      </c>
      <c r="E165">
        <v>4</v>
      </c>
      <c r="F165">
        <v>625.08723017293266</v>
      </c>
      <c r="G165">
        <v>324.12425783868861</v>
      </c>
      <c r="H165">
        <v>6.6194800742972308</v>
      </c>
      <c r="I165">
        <v>0.5185264426998748</v>
      </c>
      <c r="J165">
        <v>3.6321636768594847</v>
      </c>
    </row>
    <row r="166" spans="1:10" x14ac:dyDescent="0.2">
      <c r="A166" t="s">
        <v>455</v>
      </c>
      <c r="B166" t="s">
        <v>460</v>
      </c>
      <c r="C166" t="s">
        <v>461</v>
      </c>
      <c r="D166" t="s">
        <v>86</v>
      </c>
      <c r="E166">
        <v>5</v>
      </c>
      <c r="F166">
        <v>597.53045229168583</v>
      </c>
      <c r="G166">
        <v>272.90349582809625</v>
      </c>
      <c r="H166">
        <v>0</v>
      </c>
      <c r="I166">
        <v>0.45671897521112081</v>
      </c>
      <c r="J166">
        <v>3.4720408606505226</v>
      </c>
    </row>
    <row r="167" spans="1:10" x14ac:dyDescent="0.2">
      <c r="A167" t="s">
        <v>455</v>
      </c>
      <c r="B167" t="s">
        <v>462</v>
      </c>
      <c r="C167" t="s">
        <v>463</v>
      </c>
      <c r="D167" t="s">
        <v>464</v>
      </c>
      <c r="E167">
        <v>6</v>
      </c>
      <c r="F167">
        <v>551.89618520627664</v>
      </c>
      <c r="G167">
        <v>189.3610455031754</v>
      </c>
      <c r="H167">
        <v>0</v>
      </c>
      <c r="I167">
        <v>0.34310990106300487</v>
      </c>
      <c r="J167">
        <v>3.2068760655196544</v>
      </c>
    </row>
    <row r="168" spans="1:10" x14ac:dyDescent="0.2">
      <c r="A168" t="s">
        <v>455</v>
      </c>
      <c r="B168" t="s">
        <v>465</v>
      </c>
      <c r="C168" t="s">
        <v>338</v>
      </c>
      <c r="D168" t="s">
        <v>127</v>
      </c>
      <c r="E168">
        <v>7</v>
      </c>
      <c r="F168">
        <v>502.59428489260267</v>
      </c>
      <c r="G168">
        <v>110.85863387468777</v>
      </c>
      <c r="H168">
        <v>115.47966471402434</v>
      </c>
      <c r="I168">
        <v>0.22057281033025813</v>
      </c>
      <c r="J168">
        <v>2.9203999340684765</v>
      </c>
    </row>
    <row r="169" spans="1:10" x14ac:dyDescent="0.2">
      <c r="A169" t="s">
        <v>455</v>
      </c>
      <c r="B169" t="s">
        <v>466</v>
      </c>
      <c r="C169" t="s">
        <v>467</v>
      </c>
      <c r="D169" t="s">
        <v>468</v>
      </c>
      <c r="E169">
        <v>8</v>
      </c>
      <c r="F169">
        <v>494.9407171912701</v>
      </c>
      <c r="G169">
        <v>120.97640145936224</v>
      </c>
      <c r="H169">
        <v>0</v>
      </c>
      <c r="I169">
        <v>0.24442604388236427</v>
      </c>
      <c r="J169">
        <v>2.8759277240131302</v>
      </c>
    </row>
    <row r="170" spans="1:10" x14ac:dyDescent="0.2">
      <c r="A170" t="s">
        <v>455</v>
      </c>
      <c r="B170" t="s">
        <v>469</v>
      </c>
      <c r="C170" t="s">
        <v>309</v>
      </c>
      <c r="D170" t="s">
        <v>53</v>
      </c>
      <c r="E170">
        <v>9</v>
      </c>
      <c r="F170">
        <v>466</v>
      </c>
      <c r="G170">
        <v>80</v>
      </c>
      <c r="H170">
        <v>0</v>
      </c>
      <c r="I170">
        <v>0.17167381974248927</v>
      </c>
      <c r="J170">
        <v>2.7077633196062241</v>
      </c>
    </row>
    <row r="171" spans="1:10" x14ac:dyDescent="0.2">
      <c r="A171" t="s">
        <v>455</v>
      </c>
      <c r="B171" s="111" t="s">
        <v>560</v>
      </c>
      <c r="C171" t="s">
        <v>270</v>
      </c>
      <c r="D171" t="s">
        <v>55</v>
      </c>
      <c r="E171">
        <v>10</v>
      </c>
      <c r="F171">
        <v>416.8561188177008</v>
      </c>
      <c r="G171">
        <v>41.224964895260101</v>
      </c>
      <c r="H171">
        <v>88.238960148594458</v>
      </c>
      <c r="I171">
        <v>9.8894949682359276E-2</v>
      </c>
      <c r="J171">
        <v>2.4222053821630558</v>
      </c>
    </row>
    <row r="172" spans="1:10" x14ac:dyDescent="0.2">
      <c r="A172" t="s">
        <v>470</v>
      </c>
      <c r="B172" t="s">
        <v>471</v>
      </c>
      <c r="C172" t="s">
        <v>250</v>
      </c>
      <c r="D172" t="s">
        <v>125</v>
      </c>
      <c r="E172">
        <v>1</v>
      </c>
      <c r="F172">
        <v>4915.4751995320612</v>
      </c>
      <c r="G172">
        <v>2464.5239204223872</v>
      </c>
      <c r="H172">
        <v>14.371139174531146</v>
      </c>
      <c r="I172">
        <v>0.50138060317281274</v>
      </c>
      <c r="J172">
        <v>13.264266890965173</v>
      </c>
    </row>
    <row r="173" spans="1:10" x14ac:dyDescent="0.2">
      <c r="A173" t="s">
        <v>470</v>
      </c>
      <c r="B173" t="s">
        <v>472</v>
      </c>
      <c r="C173" t="s">
        <v>260</v>
      </c>
      <c r="D173" t="s">
        <v>47</v>
      </c>
      <c r="E173">
        <v>2</v>
      </c>
      <c r="F173">
        <v>2561.8470233998587</v>
      </c>
      <c r="G173">
        <v>1511.7001903299708</v>
      </c>
      <c r="H173">
        <v>6.4354248996585026</v>
      </c>
      <c r="I173">
        <v>0.59008214640535983</v>
      </c>
      <c r="J173">
        <v>6.9130696978056809</v>
      </c>
    </row>
    <row r="174" spans="1:10" x14ac:dyDescent="0.2">
      <c r="A174" t="s">
        <v>470</v>
      </c>
      <c r="B174" t="s">
        <v>473</v>
      </c>
      <c r="C174" t="s">
        <v>474</v>
      </c>
      <c r="D174" t="s">
        <v>194</v>
      </c>
      <c r="E174">
        <v>3</v>
      </c>
      <c r="F174">
        <v>1501.7558385389909</v>
      </c>
      <c r="G174">
        <v>313.66114273096071</v>
      </c>
      <c r="H174">
        <v>5</v>
      </c>
      <c r="I174">
        <v>0.20886294208525358</v>
      </c>
      <c r="J174">
        <v>4.0524444613905635</v>
      </c>
    </row>
    <row r="175" spans="1:10" x14ac:dyDescent="0.2">
      <c r="A175" t="s">
        <v>470</v>
      </c>
      <c r="B175" t="s">
        <v>475</v>
      </c>
      <c r="C175" t="s">
        <v>291</v>
      </c>
      <c r="D175" t="s">
        <v>43</v>
      </c>
      <c r="E175">
        <v>4</v>
      </c>
      <c r="F175">
        <v>1359.3637330925444</v>
      </c>
      <c r="G175">
        <v>347.22276333466471</v>
      </c>
      <c r="H175">
        <v>533.71231991779212</v>
      </c>
      <c r="I175">
        <v>0.255430356777825</v>
      </c>
      <c r="J175">
        <v>3.6682035054016242</v>
      </c>
    </row>
    <row r="176" spans="1:10" x14ac:dyDescent="0.2">
      <c r="A176" t="s">
        <v>470</v>
      </c>
      <c r="B176" t="s">
        <v>476</v>
      </c>
      <c r="C176" t="s">
        <v>477</v>
      </c>
      <c r="D176" t="s">
        <v>227</v>
      </c>
      <c r="E176">
        <v>5</v>
      </c>
      <c r="F176">
        <v>1166.8744888859724</v>
      </c>
      <c r="G176">
        <v>768.99426586568552</v>
      </c>
      <c r="H176">
        <v>10</v>
      </c>
      <c r="I176">
        <v>0.65902054864516968</v>
      </c>
      <c r="J176">
        <v>3.1487768772214633</v>
      </c>
    </row>
    <row r="177" spans="1:10" x14ac:dyDescent="0.2">
      <c r="A177" t="s">
        <v>470</v>
      </c>
      <c r="B177" t="s">
        <v>478</v>
      </c>
      <c r="C177" t="s">
        <v>461</v>
      </c>
      <c r="D177" t="s">
        <v>86</v>
      </c>
      <c r="E177">
        <v>6</v>
      </c>
      <c r="F177">
        <v>1130.6765172277505</v>
      </c>
      <c r="G177">
        <v>361.11530390808775</v>
      </c>
      <c r="H177">
        <v>14.896569048354877</v>
      </c>
      <c r="I177">
        <v>0.3193798565778021</v>
      </c>
      <c r="J177">
        <v>3.0510977032868749</v>
      </c>
    </row>
    <row r="178" spans="1:10" x14ac:dyDescent="0.2">
      <c r="A178" t="s">
        <v>470</v>
      </c>
      <c r="B178" t="s">
        <v>479</v>
      </c>
      <c r="C178" t="s">
        <v>266</v>
      </c>
      <c r="D178" t="s">
        <v>48</v>
      </c>
      <c r="E178">
        <v>7</v>
      </c>
      <c r="F178">
        <v>1051.2677996825287</v>
      </c>
      <c r="G178">
        <v>74.142026187063124</v>
      </c>
      <c r="H178">
        <v>71.857054497385718</v>
      </c>
      <c r="I178">
        <v>7.0526298065491211E-2</v>
      </c>
      <c r="J178">
        <v>2.8368155880827612</v>
      </c>
    </row>
    <row r="179" spans="1:10" x14ac:dyDescent="0.2">
      <c r="A179" t="s">
        <v>470</v>
      </c>
      <c r="B179" t="s">
        <v>480</v>
      </c>
      <c r="C179" t="s">
        <v>393</v>
      </c>
      <c r="D179" t="s">
        <v>126</v>
      </c>
      <c r="E179">
        <v>8</v>
      </c>
      <c r="F179">
        <v>932.3265550729609</v>
      </c>
      <c r="G179">
        <v>657.57639579087231</v>
      </c>
      <c r="H179">
        <v>0</v>
      </c>
      <c r="I179">
        <v>0.70530694659813964</v>
      </c>
      <c r="J179">
        <v>2.5158560981447247</v>
      </c>
    </row>
    <row r="180" spans="1:10" x14ac:dyDescent="0.2">
      <c r="A180" t="s">
        <v>470</v>
      </c>
      <c r="B180" t="s">
        <v>481</v>
      </c>
      <c r="C180" t="s">
        <v>338</v>
      </c>
      <c r="D180" t="s">
        <v>127</v>
      </c>
      <c r="E180">
        <v>9</v>
      </c>
      <c r="F180">
        <v>911.29864138850735</v>
      </c>
      <c r="G180">
        <v>412.55293847021159</v>
      </c>
      <c r="H180">
        <v>56.702585905084455</v>
      </c>
      <c r="I180">
        <v>0.4527088264299638</v>
      </c>
      <c r="J180">
        <v>2.4591128845288117</v>
      </c>
    </row>
    <row r="181" spans="1:10" x14ac:dyDescent="0.2">
      <c r="A181" t="s">
        <v>470</v>
      </c>
      <c r="B181" s="111" t="s">
        <v>561</v>
      </c>
      <c r="C181" t="s">
        <v>482</v>
      </c>
      <c r="D181" t="s">
        <v>195</v>
      </c>
      <c r="E181">
        <v>10</v>
      </c>
      <c r="F181">
        <v>878.38368955884175</v>
      </c>
      <c r="G181">
        <v>101.35241974492519</v>
      </c>
      <c r="H181">
        <v>14.001677272892943</v>
      </c>
      <c r="I181">
        <v>0.11538513402477714</v>
      </c>
      <c r="J181">
        <v>2.3702928441360722</v>
      </c>
    </row>
    <row r="182" spans="1:10" x14ac:dyDescent="0.2">
      <c r="A182" t="s">
        <v>483</v>
      </c>
      <c r="B182" t="s">
        <v>484</v>
      </c>
      <c r="C182" t="s">
        <v>252</v>
      </c>
      <c r="D182" t="s">
        <v>131</v>
      </c>
      <c r="E182">
        <v>1</v>
      </c>
      <c r="F182">
        <v>844.60044791797873</v>
      </c>
      <c r="G182">
        <v>0</v>
      </c>
      <c r="H182">
        <v>203.2707350880591</v>
      </c>
      <c r="J182">
        <v>7.8134700629455542</v>
      </c>
    </row>
    <row r="183" spans="1:10" x14ac:dyDescent="0.2">
      <c r="A183" t="s">
        <v>483</v>
      </c>
      <c r="B183" t="s">
        <v>485</v>
      </c>
      <c r="C183" t="s">
        <v>291</v>
      </c>
      <c r="D183" t="s">
        <v>43</v>
      </c>
      <c r="E183">
        <v>2</v>
      </c>
      <c r="F183">
        <v>552.5302547064091</v>
      </c>
      <c r="G183">
        <v>421.2728623950851</v>
      </c>
      <c r="H183">
        <v>52.119824329981576</v>
      </c>
      <c r="I183">
        <v>0.76244306769939951</v>
      </c>
      <c r="J183">
        <v>5.1115040427251364</v>
      </c>
    </row>
    <row r="184" spans="1:10" x14ac:dyDescent="0.2">
      <c r="A184" t="s">
        <v>483</v>
      </c>
      <c r="B184" t="s">
        <v>486</v>
      </c>
      <c r="C184" t="s">
        <v>331</v>
      </c>
      <c r="D184" t="s">
        <v>45</v>
      </c>
      <c r="E184">
        <v>3</v>
      </c>
      <c r="F184">
        <v>437.79619069715523</v>
      </c>
      <c r="G184">
        <v>140.48869292276495</v>
      </c>
      <c r="H184">
        <v>402.43148485374525</v>
      </c>
      <c r="I184">
        <v>0.32089976091168815</v>
      </c>
      <c r="J184">
        <v>4.0500895282688969</v>
      </c>
    </row>
    <row r="185" spans="1:10" x14ac:dyDescent="0.2">
      <c r="A185" t="s">
        <v>483</v>
      </c>
      <c r="B185" t="s">
        <v>487</v>
      </c>
      <c r="C185" t="s">
        <v>254</v>
      </c>
      <c r="D185" t="s">
        <v>128</v>
      </c>
      <c r="E185">
        <v>4</v>
      </c>
      <c r="F185">
        <v>425.93080652858873</v>
      </c>
      <c r="G185">
        <v>206.05250146948532</v>
      </c>
      <c r="H185">
        <v>45.894234915072531</v>
      </c>
      <c r="I185">
        <v>0.48376989480720961</v>
      </c>
      <c r="J185">
        <v>3.9403218573956678</v>
      </c>
    </row>
    <row r="186" spans="1:10" x14ac:dyDescent="0.2">
      <c r="A186" t="s">
        <v>483</v>
      </c>
      <c r="B186" t="s">
        <v>488</v>
      </c>
      <c r="C186" t="s">
        <v>349</v>
      </c>
      <c r="D186" t="s">
        <v>46</v>
      </c>
      <c r="E186">
        <v>5</v>
      </c>
      <c r="F186">
        <v>380.02015497456512</v>
      </c>
      <c r="G186">
        <v>169.09382067659581</v>
      </c>
      <c r="H186">
        <v>40.993062043290358</v>
      </c>
      <c r="I186">
        <v>0.44496013820086283</v>
      </c>
      <c r="J186">
        <v>3.5155985431090473</v>
      </c>
    </row>
    <row r="187" spans="1:10" x14ac:dyDescent="0.2">
      <c r="A187" t="s">
        <v>483</v>
      </c>
      <c r="B187" t="s">
        <v>489</v>
      </c>
      <c r="C187" t="s">
        <v>250</v>
      </c>
      <c r="D187" t="s">
        <v>125</v>
      </c>
      <c r="E187">
        <v>6</v>
      </c>
      <c r="F187">
        <v>289.90766066688218</v>
      </c>
      <c r="G187">
        <v>267.28218424195586</v>
      </c>
      <c r="H187">
        <v>13.615847270323853</v>
      </c>
      <c r="I187">
        <v>0.92195626575413581</v>
      </c>
      <c r="J187">
        <v>2.6819602490422079</v>
      </c>
    </row>
    <row r="188" spans="1:10" x14ac:dyDescent="0.2">
      <c r="A188" t="s">
        <v>483</v>
      </c>
      <c r="B188" t="s">
        <v>490</v>
      </c>
      <c r="C188" t="s">
        <v>284</v>
      </c>
      <c r="D188" t="s">
        <v>124</v>
      </c>
      <c r="E188">
        <v>7</v>
      </c>
      <c r="F188">
        <v>280.02784199853772</v>
      </c>
      <c r="G188">
        <v>113.23493317391959</v>
      </c>
      <c r="H188">
        <v>34.699219258980122</v>
      </c>
      <c r="I188">
        <v>0.40437026677694032</v>
      </c>
      <c r="J188">
        <v>2.590561212275492</v>
      </c>
    </row>
    <row r="189" spans="1:10" x14ac:dyDescent="0.2">
      <c r="A189" t="s">
        <v>483</v>
      </c>
      <c r="B189" t="s">
        <v>491</v>
      </c>
      <c r="C189" t="s">
        <v>378</v>
      </c>
      <c r="D189" t="s">
        <v>133</v>
      </c>
      <c r="E189">
        <v>8</v>
      </c>
      <c r="F189">
        <v>273.14322067819046</v>
      </c>
      <c r="G189">
        <v>101.25359372074782</v>
      </c>
      <c r="H189">
        <v>48.00725027032928</v>
      </c>
      <c r="I189">
        <v>0.3706978099963239</v>
      </c>
      <c r="J189">
        <v>2.5268709990937981</v>
      </c>
    </row>
    <row r="190" spans="1:10" x14ac:dyDescent="0.2">
      <c r="A190" t="s">
        <v>483</v>
      </c>
      <c r="B190" t="s">
        <v>492</v>
      </c>
      <c r="C190" t="s">
        <v>338</v>
      </c>
      <c r="D190" t="s">
        <v>127</v>
      </c>
      <c r="E190">
        <v>9</v>
      </c>
      <c r="F190">
        <v>255.81038058934075</v>
      </c>
      <c r="G190">
        <v>162.10883212055131</v>
      </c>
      <c r="H190">
        <v>5.5953712596898324</v>
      </c>
      <c r="I190">
        <v>0.63370701277673702</v>
      </c>
      <c r="J190">
        <v>2.3665234318223187</v>
      </c>
    </row>
    <row r="191" spans="1:10" x14ac:dyDescent="0.2">
      <c r="A191" t="s">
        <v>483</v>
      </c>
      <c r="B191" s="111" t="s">
        <v>562</v>
      </c>
      <c r="C191" t="s">
        <v>294</v>
      </c>
      <c r="D191" t="s">
        <v>123</v>
      </c>
      <c r="E191">
        <v>10</v>
      </c>
      <c r="F191">
        <v>255.78437777186636</v>
      </c>
      <c r="G191">
        <v>115.91547704958641</v>
      </c>
      <c r="H191">
        <v>13.745613799978772</v>
      </c>
      <c r="I191">
        <v>0.45317653118350809</v>
      </c>
      <c r="J191">
        <v>2.3662828775621483</v>
      </c>
    </row>
    <row r="192" spans="1:10" x14ac:dyDescent="0.2">
      <c r="A192" t="s">
        <v>493</v>
      </c>
      <c r="B192" t="s">
        <v>494</v>
      </c>
      <c r="C192" t="s">
        <v>252</v>
      </c>
      <c r="D192" t="s">
        <v>131</v>
      </c>
      <c r="E192">
        <v>1</v>
      </c>
      <c r="F192">
        <v>2189.4040398622406</v>
      </c>
      <c r="G192">
        <v>49.636092355250511</v>
      </c>
      <c r="H192">
        <v>375.00399464727252</v>
      </c>
      <c r="I192">
        <v>2.2671051780087912E-2</v>
      </c>
      <c r="J192">
        <v>19.258721228652579</v>
      </c>
    </row>
    <row r="193" spans="1:10" x14ac:dyDescent="0.2">
      <c r="A193" t="s">
        <v>493</v>
      </c>
      <c r="B193" t="s">
        <v>495</v>
      </c>
      <c r="C193" t="s">
        <v>291</v>
      </c>
      <c r="D193" t="s">
        <v>43</v>
      </c>
      <c r="E193">
        <v>2</v>
      </c>
      <c r="F193">
        <v>525.59077894346058</v>
      </c>
      <c r="G193">
        <v>259.93531331555681</v>
      </c>
      <c r="H193">
        <v>88.621295472979497</v>
      </c>
      <c r="I193">
        <v>0.4945583593343803</v>
      </c>
      <c r="J193">
        <v>4.6232701263579328</v>
      </c>
    </row>
    <row r="194" spans="1:10" x14ac:dyDescent="0.2">
      <c r="A194" t="s">
        <v>493</v>
      </c>
      <c r="B194" t="s">
        <v>496</v>
      </c>
      <c r="C194" t="s">
        <v>264</v>
      </c>
      <c r="D194" t="s">
        <v>51</v>
      </c>
      <c r="E194">
        <v>3</v>
      </c>
      <c r="F194">
        <v>438.39089879415724</v>
      </c>
      <c r="G194">
        <v>96.135228687086922</v>
      </c>
      <c r="H194">
        <v>215.60938159787628</v>
      </c>
      <c r="I194">
        <v>0.21929111428069681</v>
      </c>
      <c r="J194">
        <v>3.8562311731124566</v>
      </c>
    </row>
    <row r="195" spans="1:10" x14ac:dyDescent="0.2">
      <c r="A195" t="s">
        <v>493</v>
      </c>
      <c r="B195" t="s">
        <v>497</v>
      </c>
      <c r="C195" t="s">
        <v>378</v>
      </c>
      <c r="D195" t="s">
        <v>133</v>
      </c>
      <c r="E195">
        <v>4</v>
      </c>
      <c r="F195">
        <v>335.4866586415514</v>
      </c>
      <c r="G195">
        <v>93.489813970021643</v>
      </c>
      <c r="H195">
        <v>33.472558035374405</v>
      </c>
      <c r="I195">
        <v>0.27866924529452075</v>
      </c>
      <c r="J195">
        <v>2.9510514811675885</v>
      </c>
    </row>
    <row r="196" spans="1:10" x14ac:dyDescent="0.2">
      <c r="A196" t="s">
        <v>493</v>
      </c>
      <c r="B196" t="s">
        <v>498</v>
      </c>
      <c r="C196" t="s">
        <v>273</v>
      </c>
      <c r="D196" t="s">
        <v>132</v>
      </c>
      <c r="E196">
        <v>5</v>
      </c>
      <c r="F196">
        <v>318.55242943089377</v>
      </c>
      <c r="G196">
        <v>77.718846008170829</v>
      </c>
      <c r="H196">
        <v>27.470150105446507</v>
      </c>
      <c r="I196">
        <v>0.24397505348497436</v>
      </c>
      <c r="J196">
        <v>2.8020924066193014</v>
      </c>
    </row>
    <row r="197" spans="1:10" x14ac:dyDescent="0.2">
      <c r="A197" t="s">
        <v>493</v>
      </c>
      <c r="B197" t="s">
        <v>499</v>
      </c>
      <c r="C197" t="s">
        <v>266</v>
      </c>
      <c r="D197" t="s">
        <v>48</v>
      </c>
      <c r="E197">
        <v>6</v>
      </c>
      <c r="F197">
        <v>268.29750574185579</v>
      </c>
      <c r="G197">
        <v>52.094637819551849</v>
      </c>
      <c r="H197">
        <v>70.247571977657657</v>
      </c>
      <c r="I197">
        <v>0.19416743243850745</v>
      </c>
      <c r="J197">
        <v>2.3600334955764182</v>
      </c>
    </row>
    <row r="198" spans="1:10" x14ac:dyDescent="0.2">
      <c r="A198" t="s">
        <v>493</v>
      </c>
      <c r="B198" t="s">
        <v>500</v>
      </c>
      <c r="C198" t="s">
        <v>284</v>
      </c>
      <c r="D198" t="s">
        <v>124</v>
      </c>
      <c r="E198">
        <v>7</v>
      </c>
      <c r="F198">
        <v>258.82686784497247</v>
      </c>
      <c r="G198">
        <v>83.710456231450252</v>
      </c>
      <c r="H198">
        <v>3.6091625133078313</v>
      </c>
      <c r="I198">
        <v>0.32342259104873788</v>
      </c>
      <c r="J198">
        <v>2.2767266359046578</v>
      </c>
    </row>
    <row r="199" spans="1:10" x14ac:dyDescent="0.2">
      <c r="A199" t="s">
        <v>493</v>
      </c>
      <c r="B199" t="s">
        <v>501</v>
      </c>
      <c r="C199" t="s">
        <v>302</v>
      </c>
      <c r="D199" t="s">
        <v>49</v>
      </c>
      <c r="E199">
        <v>8</v>
      </c>
      <c r="F199">
        <v>243.51464406617936</v>
      </c>
      <c r="G199">
        <v>145.50790664145609</v>
      </c>
      <c r="H199">
        <v>50.965816206675036</v>
      </c>
      <c r="I199">
        <v>0.59753246955411754</v>
      </c>
      <c r="J199">
        <v>2.1420352569826218</v>
      </c>
    </row>
    <row r="200" spans="1:10" x14ac:dyDescent="0.2">
      <c r="A200" t="s">
        <v>493</v>
      </c>
      <c r="B200" t="s">
        <v>502</v>
      </c>
      <c r="C200" t="s">
        <v>275</v>
      </c>
      <c r="D200" t="s">
        <v>130</v>
      </c>
      <c r="E200">
        <v>9</v>
      </c>
      <c r="F200">
        <v>236.88832696890546</v>
      </c>
      <c r="G200">
        <v>145.28867800216261</v>
      </c>
      <c r="H200">
        <v>39.629235874048987</v>
      </c>
      <c r="I200">
        <v>0.61332139013009945</v>
      </c>
      <c r="J200">
        <v>2.0837479827173007</v>
      </c>
    </row>
    <row r="201" spans="1:10" x14ac:dyDescent="0.2">
      <c r="A201" t="s">
        <v>493</v>
      </c>
      <c r="B201" s="111" t="s">
        <v>563</v>
      </c>
      <c r="C201" t="s">
        <v>270</v>
      </c>
      <c r="D201" t="s">
        <v>55</v>
      </c>
      <c r="E201">
        <v>10</v>
      </c>
      <c r="F201">
        <v>233.92147264716024</v>
      </c>
      <c r="G201">
        <v>21.115190722664334</v>
      </c>
      <c r="H201">
        <v>20.631625973101777</v>
      </c>
      <c r="I201">
        <v>9.0266149933631024E-2</v>
      </c>
      <c r="J201">
        <v>2.0576505519698407</v>
      </c>
    </row>
    <row r="202" spans="1:10" x14ac:dyDescent="0.2">
      <c r="A202" t="s">
        <v>503</v>
      </c>
      <c r="B202" t="s">
        <v>504</v>
      </c>
      <c r="C202" t="s">
        <v>331</v>
      </c>
      <c r="D202" t="s">
        <v>45</v>
      </c>
      <c r="E202">
        <v>1</v>
      </c>
      <c r="F202">
        <v>337.92272343211727</v>
      </c>
      <c r="G202">
        <v>36.653570950898398</v>
      </c>
      <c r="H202">
        <v>176.51862703692117</v>
      </c>
      <c r="I202">
        <v>0.10846731636933393</v>
      </c>
      <c r="J202">
        <v>4.8127912898432239</v>
      </c>
    </row>
    <row r="203" spans="1:10" x14ac:dyDescent="0.2">
      <c r="A203" t="s">
        <v>503</v>
      </c>
      <c r="B203" t="s">
        <v>505</v>
      </c>
      <c r="C203" t="s">
        <v>275</v>
      </c>
      <c r="D203" t="s">
        <v>130</v>
      </c>
      <c r="E203">
        <v>2</v>
      </c>
      <c r="F203">
        <v>271.01087107673652</v>
      </c>
      <c r="G203">
        <v>191.27664690316323</v>
      </c>
      <c r="H203">
        <v>22.004318935002068</v>
      </c>
      <c r="I203">
        <v>0.70578957273268716</v>
      </c>
      <c r="J203">
        <v>3.8598137068842524</v>
      </c>
    </row>
    <row r="204" spans="1:10" x14ac:dyDescent="0.2">
      <c r="A204" t="s">
        <v>503</v>
      </c>
      <c r="B204" t="s">
        <v>506</v>
      </c>
      <c r="C204" t="s">
        <v>482</v>
      </c>
      <c r="D204" t="s">
        <v>195</v>
      </c>
      <c r="E204">
        <v>3</v>
      </c>
      <c r="F204">
        <v>239.99692981199576</v>
      </c>
      <c r="G204">
        <v>56.26672876271271</v>
      </c>
      <c r="H204">
        <v>0</v>
      </c>
      <c r="I204">
        <v>0.23444770233848355</v>
      </c>
      <c r="J204">
        <v>3.4181043572830907</v>
      </c>
    </row>
    <row r="205" spans="1:10" x14ac:dyDescent="0.2">
      <c r="A205" t="s">
        <v>503</v>
      </c>
      <c r="B205" t="s">
        <v>507</v>
      </c>
      <c r="C205" t="s">
        <v>254</v>
      </c>
      <c r="D205" t="s">
        <v>128</v>
      </c>
      <c r="E205">
        <v>4</v>
      </c>
      <c r="F205">
        <v>218.52589963225293</v>
      </c>
      <c r="G205">
        <v>116.56967423005831</v>
      </c>
      <c r="H205">
        <v>71.23413333280088</v>
      </c>
      <c r="I205">
        <v>0.53343642298797533</v>
      </c>
      <c r="J205">
        <v>3.1123078545102145</v>
      </c>
    </row>
    <row r="206" spans="1:10" x14ac:dyDescent="0.2">
      <c r="A206" t="s">
        <v>503</v>
      </c>
      <c r="B206" t="s">
        <v>508</v>
      </c>
      <c r="C206" t="s">
        <v>378</v>
      </c>
      <c r="D206" t="s">
        <v>133</v>
      </c>
      <c r="E206">
        <v>5</v>
      </c>
      <c r="F206">
        <v>195.34651889176718</v>
      </c>
      <c r="G206">
        <v>62.172221352976109</v>
      </c>
      <c r="H206">
        <v>51.949846528710019</v>
      </c>
      <c r="I206">
        <v>0.31826633873840859</v>
      </c>
      <c r="J206">
        <v>2.7821805384222822</v>
      </c>
    </row>
    <row r="207" spans="1:10" x14ac:dyDescent="0.2">
      <c r="A207" t="s">
        <v>503</v>
      </c>
      <c r="B207" t="s">
        <v>509</v>
      </c>
      <c r="C207" t="s">
        <v>264</v>
      </c>
      <c r="D207" t="s">
        <v>51</v>
      </c>
      <c r="E207">
        <v>6</v>
      </c>
      <c r="F207">
        <v>176.68093169907374</v>
      </c>
      <c r="G207">
        <v>54.413439122526782</v>
      </c>
      <c r="H207">
        <v>55.970254527239682</v>
      </c>
      <c r="I207">
        <v>0.30797573116268578</v>
      </c>
      <c r="J207">
        <v>2.5163399505257118</v>
      </c>
    </row>
    <row r="208" spans="1:10" x14ac:dyDescent="0.2">
      <c r="A208" t="s">
        <v>503</v>
      </c>
      <c r="B208" t="s">
        <v>510</v>
      </c>
      <c r="C208" t="s">
        <v>349</v>
      </c>
      <c r="D208" t="s">
        <v>46</v>
      </c>
      <c r="E208">
        <v>7</v>
      </c>
      <c r="F208">
        <v>168.43243097812729</v>
      </c>
      <c r="G208">
        <v>51.057690094781641</v>
      </c>
      <c r="H208">
        <v>2</v>
      </c>
      <c r="I208">
        <v>0.30313455549075352</v>
      </c>
      <c r="J208">
        <v>2.3988624633036624</v>
      </c>
    </row>
    <row r="209" spans="1:10" x14ac:dyDescent="0.2">
      <c r="A209" t="s">
        <v>503</v>
      </c>
      <c r="B209" t="s">
        <v>511</v>
      </c>
      <c r="C209" t="s">
        <v>252</v>
      </c>
      <c r="D209" t="s">
        <v>131</v>
      </c>
      <c r="E209">
        <v>8</v>
      </c>
      <c r="F209">
        <v>165.074938882293</v>
      </c>
      <c r="G209">
        <v>60</v>
      </c>
      <c r="H209">
        <v>53.286791166918064</v>
      </c>
      <c r="I209">
        <v>0.36347128404986484</v>
      </c>
      <c r="J209">
        <v>2.3510441084134364</v>
      </c>
    </row>
    <row r="210" spans="1:10" x14ac:dyDescent="0.2">
      <c r="A210" t="s">
        <v>503</v>
      </c>
      <c r="B210" t="s">
        <v>512</v>
      </c>
      <c r="C210" t="s">
        <v>270</v>
      </c>
      <c r="D210" t="s">
        <v>55</v>
      </c>
      <c r="E210">
        <v>9</v>
      </c>
      <c r="F210">
        <v>165.0202104029668</v>
      </c>
      <c r="G210">
        <v>45.663712593598127</v>
      </c>
      <c r="H210">
        <v>9</v>
      </c>
      <c r="I210">
        <v>0.27671587911620532</v>
      </c>
      <c r="J210">
        <v>2.350264649885367</v>
      </c>
    </row>
    <row r="211" spans="1:10" x14ac:dyDescent="0.2">
      <c r="A211" t="s">
        <v>503</v>
      </c>
      <c r="B211" s="111" t="s">
        <v>564</v>
      </c>
      <c r="C211" t="s">
        <v>284</v>
      </c>
      <c r="D211" t="s">
        <v>124</v>
      </c>
      <c r="E211">
        <v>10</v>
      </c>
      <c r="F211">
        <v>159.47390471488515</v>
      </c>
      <c r="G211">
        <v>63.804830010419046</v>
      </c>
      <c r="H211">
        <v>12.654438462907235</v>
      </c>
      <c r="I211">
        <v>0.40009574058208636</v>
      </c>
      <c r="J211">
        <v>2.2712725908865012</v>
      </c>
    </row>
    <row r="212" spans="1:10" x14ac:dyDescent="0.2">
      <c r="A212" t="s">
        <v>513</v>
      </c>
      <c r="B212" t="s">
        <v>514</v>
      </c>
      <c r="C212" t="s">
        <v>291</v>
      </c>
      <c r="D212" t="s">
        <v>43</v>
      </c>
      <c r="E212">
        <v>1</v>
      </c>
      <c r="F212">
        <v>459.26948143267049</v>
      </c>
      <c r="G212">
        <v>78.364213348033431</v>
      </c>
      <c r="H212">
        <v>189.9806642562109</v>
      </c>
      <c r="I212">
        <v>0.17062795704077657</v>
      </c>
      <c r="J212">
        <v>7.1353473093992523</v>
      </c>
    </row>
    <row r="213" spans="1:10" x14ac:dyDescent="0.2">
      <c r="A213" t="s">
        <v>513</v>
      </c>
      <c r="B213" t="s">
        <v>515</v>
      </c>
      <c r="C213" t="s">
        <v>331</v>
      </c>
      <c r="D213" t="s">
        <v>45</v>
      </c>
      <c r="E213">
        <v>2</v>
      </c>
      <c r="F213">
        <v>360.78843755316416</v>
      </c>
      <c r="G213">
        <v>188.08852961509839</v>
      </c>
      <c r="H213">
        <v>112.38082857587125</v>
      </c>
      <c r="I213">
        <v>0.52132637866861387</v>
      </c>
      <c r="J213">
        <v>5.6053165107482394</v>
      </c>
    </row>
    <row r="214" spans="1:10" x14ac:dyDescent="0.2">
      <c r="A214" t="s">
        <v>513</v>
      </c>
      <c r="B214" t="s">
        <v>516</v>
      </c>
      <c r="C214" t="s">
        <v>262</v>
      </c>
      <c r="D214" t="s">
        <v>44</v>
      </c>
      <c r="E214">
        <v>3</v>
      </c>
      <c r="F214">
        <v>272.67653266059779</v>
      </c>
      <c r="G214">
        <v>207</v>
      </c>
      <c r="H214">
        <v>44</v>
      </c>
      <c r="I214">
        <v>0.75914123588205595</v>
      </c>
      <c r="J214">
        <v>4.2363837405149845</v>
      </c>
    </row>
    <row r="215" spans="1:10" x14ac:dyDescent="0.2">
      <c r="A215" t="s">
        <v>513</v>
      </c>
      <c r="B215" t="s">
        <v>517</v>
      </c>
      <c r="C215" t="s">
        <v>270</v>
      </c>
      <c r="D215" t="s">
        <v>55</v>
      </c>
      <c r="E215">
        <v>4</v>
      </c>
      <c r="F215">
        <v>204.76814582974657</v>
      </c>
      <c r="G215">
        <v>98.450204711111098</v>
      </c>
      <c r="H215">
        <v>71.450204711111098</v>
      </c>
      <c r="I215">
        <v>0.48078867107077788</v>
      </c>
      <c r="J215">
        <v>3.1813388380154186</v>
      </c>
    </row>
    <row r="216" spans="1:10" x14ac:dyDescent="0.2">
      <c r="A216" t="s">
        <v>513</v>
      </c>
      <c r="B216" t="s">
        <v>518</v>
      </c>
      <c r="C216" t="s">
        <v>338</v>
      </c>
      <c r="D216" t="s">
        <v>127</v>
      </c>
      <c r="E216">
        <v>5</v>
      </c>
      <c r="F216">
        <v>178.43771015755371</v>
      </c>
      <c r="G216">
        <v>93.474153369081591</v>
      </c>
      <c r="H216">
        <v>4</v>
      </c>
      <c r="I216">
        <v>0.52384752800597734</v>
      </c>
      <c r="J216">
        <v>2.7722613553513886</v>
      </c>
    </row>
    <row r="217" spans="1:10" x14ac:dyDescent="0.2">
      <c r="A217" t="s">
        <v>513</v>
      </c>
      <c r="B217" t="s">
        <v>519</v>
      </c>
      <c r="C217" t="s">
        <v>254</v>
      </c>
      <c r="D217" t="s">
        <v>128</v>
      </c>
      <c r="E217">
        <v>6</v>
      </c>
      <c r="F217">
        <v>176.92428546535021</v>
      </c>
      <c r="G217">
        <v>57.165925869433671</v>
      </c>
      <c r="H217">
        <v>65.914818928550702</v>
      </c>
      <c r="I217">
        <v>0.32310954778805279</v>
      </c>
      <c r="J217">
        <v>2.7487483390460024</v>
      </c>
    </row>
    <row r="218" spans="1:10" x14ac:dyDescent="0.2">
      <c r="A218" t="s">
        <v>513</v>
      </c>
      <c r="B218" t="s">
        <v>520</v>
      </c>
      <c r="C218" t="s">
        <v>294</v>
      </c>
      <c r="D218" t="s">
        <v>123</v>
      </c>
      <c r="E218">
        <v>7</v>
      </c>
      <c r="F218">
        <v>169.56501858272526</v>
      </c>
      <c r="G218">
        <v>70.371240163730391</v>
      </c>
      <c r="H218">
        <v>0</v>
      </c>
      <c r="I218">
        <v>0.41501036447207151</v>
      </c>
      <c r="J218">
        <v>2.6344125791642798</v>
      </c>
    </row>
    <row r="219" spans="1:10" x14ac:dyDescent="0.2">
      <c r="A219" t="s">
        <v>513</v>
      </c>
      <c r="B219" t="s">
        <v>521</v>
      </c>
      <c r="C219" t="s">
        <v>378</v>
      </c>
      <c r="D219" t="s">
        <v>133</v>
      </c>
      <c r="E219">
        <v>8</v>
      </c>
      <c r="F219">
        <v>156.88482746153329</v>
      </c>
      <c r="G219">
        <v>85.744793733281639</v>
      </c>
      <c r="H219">
        <v>3</v>
      </c>
      <c r="I219">
        <v>0.54654611998286107</v>
      </c>
      <c r="J219">
        <v>2.4374093571843987</v>
      </c>
    </row>
    <row r="220" spans="1:10" x14ac:dyDescent="0.2">
      <c r="A220" t="s">
        <v>513</v>
      </c>
      <c r="B220" t="s">
        <v>522</v>
      </c>
      <c r="C220" t="s">
        <v>284</v>
      </c>
      <c r="D220" t="s">
        <v>124</v>
      </c>
      <c r="E220">
        <v>9</v>
      </c>
      <c r="F220">
        <v>148.9158595898478</v>
      </c>
      <c r="G220">
        <v>39.103909175039632</v>
      </c>
      <c r="H220">
        <v>5.6610239248856358</v>
      </c>
      <c r="I220">
        <v>0.26259062857872734</v>
      </c>
      <c r="J220">
        <v>2.3136011013330764</v>
      </c>
    </row>
    <row r="221" spans="1:10" x14ac:dyDescent="0.2">
      <c r="A221" t="s">
        <v>513</v>
      </c>
      <c r="B221" s="111" t="s">
        <v>565</v>
      </c>
      <c r="C221" t="s">
        <v>282</v>
      </c>
      <c r="D221" t="s">
        <v>233</v>
      </c>
      <c r="E221">
        <v>10</v>
      </c>
      <c r="F221">
        <v>147.40600331830279</v>
      </c>
      <c r="G221">
        <v>10</v>
      </c>
      <c r="H221">
        <v>52.296305269252358</v>
      </c>
      <c r="I221">
        <v>6.7839842169836115E-2</v>
      </c>
      <c r="J221">
        <v>2.290143525072748</v>
      </c>
    </row>
    <row r="222" spans="1:10" x14ac:dyDescent="0.2">
      <c r="A222" t="s">
        <v>523</v>
      </c>
      <c r="B222" t="s">
        <v>524</v>
      </c>
      <c r="C222" t="s">
        <v>275</v>
      </c>
      <c r="D222" t="s">
        <v>130</v>
      </c>
      <c r="E222">
        <v>1</v>
      </c>
      <c r="F222">
        <v>596.22035016247673</v>
      </c>
      <c r="G222">
        <v>492.70341925356928</v>
      </c>
      <c r="H222">
        <v>32.949229253886863</v>
      </c>
      <c r="I222">
        <v>0.82637806495417687</v>
      </c>
      <c r="J222">
        <v>5.8790212177132144</v>
      </c>
    </row>
    <row r="223" spans="1:10" x14ac:dyDescent="0.2">
      <c r="A223" t="s">
        <v>523</v>
      </c>
      <c r="B223" t="s">
        <v>525</v>
      </c>
      <c r="C223" t="s">
        <v>474</v>
      </c>
      <c r="D223" t="s">
        <v>194</v>
      </c>
      <c r="E223">
        <v>2</v>
      </c>
      <c r="F223">
        <v>525.12720524855274</v>
      </c>
      <c r="G223">
        <v>62.930331357107328</v>
      </c>
      <c r="H223">
        <v>0</v>
      </c>
      <c r="I223">
        <v>0.11983826152621668</v>
      </c>
      <c r="J223">
        <v>5.1780084004401692</v>
      </c>
    </row>
    <row r="224" spans="1:10" x14ac:dyDescent="0.2">
      <c r="A224" t="s">
        <v>523</v>
      </c>
      <c r="B224" t="s">
        <v>526</v>
      </c>
      <c r="C224" t="s">
        <v>252</v>
      </c>
      <c r="D224" t="s">
        <v>131</v>
      </c>
      <c r="E224">
        <v>3</v>
      </c>
      <c r="F224">
        <v>418.23757257015563</v>
      </c>
      <c r="G224">
        <v>136.85217614634499</v>
      </c>
      <c r="H224">
        <v>150.16339222624774</v>
      </c>
      <c r="I224">
        <v>0.32721157811183799</v>
      </c>
      <c r="J224">
        <v>4.1240248886418538</v>
      </c>
    </row>
    <row r="225" spans="1:10" x14ac:dyDescent="0.2">
      <c r="A225" t="s">
        <v>523</v>
      </c>
      <c r="B225" t="s">
        <v>527</v>
      </c>
      <c r="C225" t="s">
        <v>250</v>
      </c>
      <c r="D225" t="s">
        <v>125</v>
      </c>
      <c r="E225">
        <v>4</v>
      </c>
      <c r="F225">
        <v>401.89377556691511</v>
      </c>
      <c r="G225">
        <v>290.91666692561716</v>
      </c>
      <c r="H225">
        <v>0</v>
      </c>
      <c r="I225">
        <v>0.72386457470073384</v>
      </c>
      <c r="J225">
        <v>3.9628671399439703</v>
      </c>
    </row>
    <row r="226" spans="1:10" x14ac:dyDescent="0.2">
      <c r="A226" t="s">
        <v>523</v>
      </c>
      <c r="B226" t="s">
        <v>528</v>
      </c>
      <c r="C226" t="s">
        <v>291</v>
      </c>
      <c r="D226" t="s">
        <v>43</v>
      </c>
      <c r="E226">
        <v>5</v>
      </c>
      <c r="F226">
        <v>389.98663310796258</v>
      </c>
      <c r="G226">
        <v>111.42862628918768</v>
      </c>
      <c r="H226">
        <v>16.117245204056534</v>
      </c>
      <c r="I226">
        <v>0.28572421931789688</v>
      </c>
      <c r="J226">
        <v>3.8454569523523534</v>
      </c>
    </row>
    <row r="227" spans="1:10" x14ac:dyDescent="0.2">
      <c r="A227" t="s">
        <v>523</v>
      </c>
      <c r="B227" t="s">
        <v>529</v>
      </c>
      <c r="C227" t="s">
        <v>273</v>
      </c>
      <c r="D227" t="s">
        <v>132</v>
      </c>
      <c r="E227">
        <v>6</v>
      </c>
      <c r="F227">
        <v>290.7583441597402</v>
      </c>
      <c r="G227">
        <v>106.8817155954214</v>
      </c>
      <c r="H227">
        <v>60.755248747960721</v>
      </c>
      <c r="I227">
        <v>0.36759638284602925</v>
      </c>
      <c r="J227">
        <v>2.8670179977527606</v>
      </c>
    </row>
    <row r="228" spans="1:10" x14ac:dyDescent="0.2">
      <c r="A228" t="s">
        <v>523</v>
      </c>
      <c r="B228" t="s">
        <v>530</v>
      </c>
      <c r="C228" t="s">
        <v>284</v>
      </c>
      <c r="D228" t="s">
        <v>124</v>
      </c>
      <c r="E228">
        <v>7</v>
      </c>
      <c r="F228">
        <v>274.69535214993988</v>
      </c>
      <c r="G228">
        <v>129.79309714584832</v>
      </c>
      <c r="H228">
        <v>19.248757878946481</v>
      </c>
      <c r="I228">
        <v>0.47249833726710444</v>
      </c>
      <c r="J228">
        <v>2.7086291221972054</v>
      </c>
    </row>
    <row r="229" spans="1:10" x14ac:dyDescent="0.2">
      <c r="A229" t="s">
        <v>523</v>
      </c>
      <c r="B229" t="s">
        <v>531</v>
      </c>
      <c r="C229" t="s">
        <v>309</v>
      </c>
      <c r="D229" t="s">
        <v>53</v>
      </c>
      <c r="E229">
        <v>8</v>
      </c>
      <c r="F229">
        <v>246.27566630540144</v>
      </c>
      <c r="G229">
        <v>149.69533091045412</v>
      </c>
      <c r="H229">
        <v>16.720777948554563</v>
      </c>
      <c r="I229">
        <v>0.60783646698094806</v>
      </c>
      <c r="J229">
        <v>2.4283972649060979</v>
      </c>
    </row>
    <row r="230" spans="1:10" x14ac:dyDescent="0.2">
      <c r="A230" t="s">
        <v>523</v>
      </c>
      <c r="B230" t="s">
        <v>532</v>
      </c>
      <c r="C230" t="s">
        <v>533</v>
      </c>
      <c r="D230" t="s">
        <v>534</v>
      </c>
      <c r="E230">
        <v>9</v>
      </c>
      <c r="F230">
        <v>232.65309656189328</v>
      </c>
      <c r="G230">
        <v>118.0273129701076</v>
      </c>
      <c r="H230">
        <v>84.561070596446996</v>
      </c>
      <c r="I230">
        <v>0.50731030325533832</v>
      </c>
      <c r="J230">
        <v>2.2940721340378913</v>
      </c>
    </row>
    <row r="231" spans="1:10" x14ac:dyDescent="0.2">
      <c r="A231" t="s">
        <v>523</v>
      </c>
      <c r="B231" s="111" t="s">
        <v>566</v>
      </c>
      <c r="C231" t="s">
        <v>262</v>
      </c>
      <c r="D231" t="s">
        <v>44</v>
      </c>
      <c r="E231">
        <v>10</v>
      </c>
      <c r="F231">
        <v>229.30108555072457</v>
      </c>
      <c r="G231">
        <v>87.940383242177091</v>
      </c>
      <c r="H231">
        <v>15</v>
      </c>
      <c r="I231">
        <v>0.38351490151460038</v>
      </c>
      <c r="J231">
        <v>2.2610196831255753</v>
      </c>
    </row>
    <row r="232" spans="1:10" x14ac:dyDescent="0.2">
      <c r="A232" t="s">
        <v>535</v>
      </c>
      <c r="B232" t="s">
        <v>536</v>
      </c>
      <c r="C232" t="s">
        <v>262</v>
      </c>
      <c r="D232" t="s">
        <v>44</v>
      </c>
      <c r="E232">
        <v>1</v>
      </c>
      <c r="F232">
        <v>408.60074418860171</v>
      </c>
      <c r="G232">
        <v>63.398636533753916</v>
      </c>
      <c r="H232">
        <v>0</v>
      </c>
      <c r="I232">
        <v>0.15516035502982445</v>
      </c>
      <c r="J232">
        <v>4.2803974045239812</v>
      </c>
    </row>
    <row r="233" spans="1:10" x14ac:dyDescent="0.2">
      <c r="A233" t="s">
        <v>535</v>
      </c>
      <c r="B233" t="s">
        <v>537</v>
      </c>
      <c r="C233" t="s">
        <v>254</v>
      </c>
      <c r="D233" t="s">
        <v>128</v>
      </c>
      <c r="E233">
        <v>2</v>
      </c>
      <c r="F233">
        <v>342.52831235353352</v>
      </c>
      <c r="G233">
        <v>59.744913725443951</v>
      </c>
      <c r="H233">
        <v>59.28248457332969</v>
      </c>
      <c r="I233">
        <v>0.17442328581521599</v>
      </c>
      <c r="J233">
        <v>3.5882394244913471</v>
      </c>
    </row>
    <row r="234" spans="1:10" x14ac:dyDescent="0.2">
      <c r="A234" t="s">
        <v>535</v>
      </c>
      <c r="B234" t="s">
        <v>538</v>
      </c>
      <c r="C234" t="s">
        <v>331</v>
      </c>
      <c r="D234" t="s">
        <v>45</v>
      </c>
      <c r="E234">
        <v>3</v>
      </c>
      <c r="F234">
        <v>322.611126776037</v>
      </c>
      <c r="G234">
        <v>49.042514563863485</v>
      </c>
      <c r="H234">
        <v>69.81412834206003</v>
      </c>
      <c r="I234">
        <v>0.15201743056404179</v>
      </c>
      <c r="J234">
        <v>3.3795920574371467</v>
      </c>
    </row>
    <row r="235" spans="1:10" x14ac:dyDescent="0.2">
      <c r="A235" t="s">
        <v>535</v>
      </c>
      <c r="B235" t="s">
        <v>539</v>
      </c>
      <c r="C235" t="s">
        <v>291</v>
      </c>
      <c r="D235" t="s">
        <v>43</v>
      </c>
      <c r="E235">
        <v>4</v>
      </c>
      <c r="F235">
        <v>294.70241136415922</v>
      </c>
      <c r="G235">
        <v>40.715365112885038</v>
      </c>
      <c r="H235">
        <v>13.207682023728053</v>
      </c>
      <c r="I235">
        <v>0.13815755671769409</v>
      </c>
      <c r="J235">
        <v>3.0872274577352443</v>
      </c>
    </row>
    <row r="236" spans="1:10" x14ac:dyDescent="0.2">
      <c r="A236" t="s">
        <v>535</v>
      </c>
      <c r="B236" t="s">
        <v>540</v>
      </c>
      <c r="C236" t="s">
        <v>252</v>
      </c>
      <c r="D236" t="s">
        <v>131</v>
      </c>
      <c r="E236">
        <v>5</v>
      </c>
      <c r="F236">
        <v>290.68141720636737</v>
      </c>
      <c r="G236">
        <v>10.320411733791632</v>
      </c>
      <c r="H236">
        <v>110.41528613412123</v>
      </c>
      <c r="I236">
        <v>3.5504201929993769E-2</v>
      </c>
      <c r="J236">
        <v>3.0451045463078636</v>
      </c>
    </row>
    <row r="237" spans="1:10" x14ac:dyDescent="0.2">
      <c r="A237" t="s">
        <v>535</v>
      </c>
      <c r="B237" t="s">
        <v>541</v>
      </c>
      <c r="C237" t="s">
        <v>273</v>
      </c>
      <c r="D237" t="s">
        <v>132</v>
      </c>
      <c r="E237">
        <v>6</v>
      </c>
      <c r="F237">
        <v>282.08588029153293</v>
      </c>
      <c r="G237">
        <v>48.630733400713915</v>
      </c>
      <c r="H237">
        <v>170.06035020563772</v>
      </c>
      <c r="I237">
        <v>0.17239690746114106</v>
      </c>
      <c r="J237">
        <v>2.9550598892091364</v>
      </c>
    </row>
    <row r="238" spans="1:10" x14ac:dyDescent="0.2">
      <c r="A238" t="s">
        <v>535</v>
      </c>
      <c r="B238" t="s">
        <v>542</v>
      </c>
      <c r="C238" t="s">
        <v>275</v>
      </c>
      <c r="D238" t="s">
        <v>130</v>
      </c>
      <c r="E238">
        <v>7</v>
      </c>
      <c r="F238">
        <v>273.02878148218815</v>
      </c>
      <c r="G238">
        <v>225.09646675709018</v>
      </c>
      <c r="H238">
        <v>40.977957584390687</v>
      </c>
      <c r="I238">
        <v>0.8244422640540372</v>
      </c>
      <c r="J238">
        <v>2.8601800271740783</v>
      </c>
    </row>
    <row r="239" spans="1:10" x14ac:dyDescent="0.2">
      <c r="A239" t="s">
        <v>535</v>
      </c>
      <c r="B239" t="s">
        <v>543</v>
      </c>
      <c r="C239" t="s">
        <v>302</v>
      </c>
      <c r="D239" t="s">
        <v>49</v>
      </c>
      <c r="E239">
        <v>8</v>
      </c>
      <c r="F239">
        <v>256.91993801664898</v>
      </c>
      <c r="G239">
        <v>24.201468652239775</v>
      </c>
      <c r="H239">
        <v>58.735562236977799</v>
      </c>
      <c r="I239">
        <v>9.4198483928761748E-2</v>
      </c>
      <c r="J239">
        <v>2.6914278828364506</v>
      </c>
    </row>
    <row r="240" spans="1:10" x14ac:dyDescent="0.2">
      <c r="A240" t="s">
        <v>535</v>
      </c>
      <c r="B240" t="s">
        <v>544</v>
      </c>
      <c r="C240" t="s">
        <v>270</v>
      </c>
      <c r="D240" t="s">
        <v>55</v>
      </c>
      <c r="E240">
        <v>9</v>
      </c>
      <c r="F240">
        <v>252.40632450585696</v>
      </c>
      <c r="G240">
        <v>98.870127985832099</v>
      </c>
      <c r="H240">
        <v>22.378806760872614</v>
      </c>
      <c r="I240">
        <v>0.39171018467700031</v>
      </c>
      <c r="J240">
        <v>2.6441444164419283</v>
      </c>
    </row>
    <row r="241" spans="1:10" x14ac:dyDescent="0.2">
      <c r="A241" t="s">
        <v>535</v>
      </c>
      <c r="B241" s="111" t="s">
        <v>567</v>
      </c>
      <c r="C241" t="s">
        <v>284</v>
      </c>
      <c r="D241" t="s">
        <v>124</v>
      </c>
      <c r="E241">
        <v>10</v>
      </c>
      <c r="F241">
        <v>221.92966431191914</v>
      </c>
      <c r="G241">
        <v>59.19227383540759</v>
      </c>
      <c r="H241">
        <v>4.7526165805885761</v>
      </c>
      <c r="I241">
        <v>0.26671636718295422</v>
      </c>
      <c r="J241">
        <v>2.3248786807621205</v>
      </c>
    </row>
  </sheetData>
  <autoFilter ref="A1:J24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G13"/>
  <sheetViews>
    <sheetView workbookViewId="0">
      <selection activeCell="V3" sqref="V3"/>
    </sheetView>
  </sheetViews>
  <sheetFormatPr baseColWidth="10" defaultRowHeight="12.75" x14ac:dyDescent="0.2"/>
  <sheetData>
    <row r="11" spans="7:7" ht="29.25" x14ac:dyDescent="0.2">
      <c r="G11" s="145"/>
    </row>
    <row r="12" spans="7:7" ht="29.25" x14ac:dyDescent="0.2">
      <c r="G12" s="144"/>
    </row>
    <row r="13" spans="7:7" x14ac:dyDescent="0.2">
      <c r="G13" s="1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Outil</vt:lpstr>
      <vt:lpstr>Données</vt:lpstr>
      <vt:lpstr>Cartes</vt:lpstr>
      <vt:lpstr>Liste bassin</vt:lpstr>
      <vt:lpstr>Feuil1</vt:lpstr>
      <vt:lpstr>bassins_diff_tri</vt:lpstr>
      <vt:lpstr>Feuil2</vt:lpstr>
      <vt:lpstr>base</vt:lpstr>
      <vt:lpstr>Outil!Zone_d_impression</vt:lpstr>
    </vt:vector>
  </TitlesOfParts>
  <Company>Pole Emploi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IGCA9860</dc:creator>
  <cp:lastModifiedBy>CHOLLET Carole</cp:lastModifiedBy>
  <cp:lastPrinted>2019-03-22T07:47:34Z</cp:lastPrinted>
  <dcterms:created xsi:type="dcterms:W3CDTF">2011-04-13T07:56:06Z</dcterms:created>
  <dcterms:modified xsi:type="dcterms:W3CDTF">2019-03-22T07:47:46Z</dcterms:modified>
</cp:coreProperties>
</file>